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firstSheet="2" activeTab="2"/>
  </bookViews>
  <sheets>
    <sheet name="2016 реш 73" sheetId="23" r:id="rId1"/>
    <sheet name="на июнь 2016" sheetId="24" r:id="rId2"/>
    <sheet name="январь2018" sheetId="33" r:id="rId3"/>
    <sheet name="42 от 12.04.18" sheetId="35" r:id="rId4"/>
    <sheet name="решение 81 от 12.07.18" sheetId="34" r:id="rId5"/>
    <sheet name="106 от 30.08.18" sheetId="36" r:id="rId6"/>
  </sheets>
  <calcPr calcId="124519"/>
</workbook>
</file>

<file path=xl/calcChain.xml><?xml version="1.0" encoding="utf-8"?>
<calcChain xmlns="http://schemas.openxmlformats.org/spreadsheetml/2006/main">
  <c r="H30" i="36"/>
  <c r="G30"/>
  <c r="F30"/>
  <c r="E30"/>
  <c r="E27" s="1"/>
  <c r="E28"/>
  <c r="G27"/>
  <c r="D29" i="34"/>
  <c r="H30"/>
  <c r="G30"/>
  <c r="F30"/>
  <c r="E30"/>
  <c r="D30" i="36"/>
  <c r="T28"/>
  <c r="R28"/>
  <c r="D28"/>
  <c r="P27"/>
  <c r="O27"/>
  <c r="N27"/>
  <c r="M27"/>
  <c r="L27"/>
  <c r="K27"/>
  <c r="J27"/>
  <c r="I27"/>
  <c r="H27"/>
  <c r="F27"/>
  <c r="P27" i="35"/>
  <c r="O27"/>
  <c r="M27"/>
  <c r="K27"/>
  <c r="I27"/>
  <c r="H30"/>
  <c r="G30"/>
  <c r="G27" s="1"/>
  <c r="F30"/>
  <c r="E30"/>
  <c r="D30" s="1"/>
  <c r="D29"/>
  <c r="T28"/>
  <c r="R28"/>
  <c r="E28"/>
  <c r="D28" s="1"/>
  <c r="N27"/>
  <c r="L27"/>
  <c r="J27"/>
  <c r="H27"/>
  <c r="F27"/>
  <c r="D30" i="34" l="1"/>
  <c r="D29" i="36"/>
  <c r="D27"/>
  <c r="U28"/>
  <c r="U28" i="35"/>
  <c r="E27"/>
  <c r="E30" i="33"/>
  <c r="P30"/>
  <c r="O30"/>
  <c r="M30"/>
  <c r="L30"/>
  <c r="J30"/>
  <c r="I30"/>
  <c r="G30"/>
  <c r="F30"/>
  <c r="H30"/>
  <c r="K30"/>
  <c r="N30"/>
  <c r="D29"/>
  <c r="P28" i="34"/>
  <c r="T28"/>
  <c r="D30" i="33" l="1"/>
  <c r="D27" i="35"/>
  <c r="R28" i="34"/>
  <c r="E28"/>
  <c r="D28" s="1"/>
  <c r="P27"/>
  <c r="O27"/>
  <c r="N27"/>
  <c r="M27"/>
  <c r="L27"/>
  <c r="K27"/>
  <c r="J27"/>
  <c r="I27"/>
  <c r="H27"/>
  <c r="G27"/>
  <c r="F27"/>
  <c r="U28" l="1"/>
  <c r="E27"/>
  <c r="T28" i="33"/>
  <c r="D27" i="34" l="1"/>
  <c r="R28" i="33"/>
  <c r="P27"/>
  <c r="E28"/>
  <c r="D28" s="1"/>
  <c r="U28" s="1"/>
  <c r="O27"/>
  <c r="N27"/>
  <c r="M27"/>
  <c r="L27"/>
  <c r="K27"/>
  <c r="J27"/>
  <c r="I27"/>
  <c r="H27"/>
  <c r="G27"/>
  <c r="F27"/>
  <c r="E27"/>
  <c r="D27" l="1"/>
  <c r="T81" i="24" l="1"/>
  <c r="T92"/>
  <c r="P53"/>
  <c r="J53"/>
  <c r="P77"/>
  <c r="T77"/>
  <c r="P72"/>
  <c r="T72"/>
  <c r="P62"/>
  <c r="T62"/>
  <c r="T67"/>
  <c r="L92"/>
  <c r="P79"/>
  <c r="T79"/>
  <c r="P74"/>
  <c r="T74"/>
  <c r="P69"/>
  <c r="T69"/>
  <c r="P64"/>
  <c r="T64"/>
  <c r="P85"/>
  <c r="J85"/>
  <c r="P82"/>
  <c r="J82"/>
  <c r="K77"/>
  <c r="K67"/>
  <c r="K62"/>
  <c r="P58"/>
  <c r="J58"/>
  <c r="P57"/>
  <c r="P56"/>
  <c r="O53"/>
  <c r="N53"/>
  <c r="M53"/>
  <c r="L53"/>
  <c r="K53"/>
  <c r="T53"/>
  <c r="J79"/>
  <c r="J74"/>
  <c r="J69"/>
  <c r="J64"/>
  <c r="J55"/>
  <c r="U52"/>
  <c r="N51"/>
  <c r="M51"/>
  <c r="L51"/>
  <c r="D107"/>
  <c r="D106"/>
  <c r="U106" s="1"/>
  <c r="P105"/>
  <c r="O105"/>
  <c r="N105"/>
  <c r="M105"/>
  <c r="L105"/>
  <c r="K105"/>
  <c r="J105"/>
  <c r="I105"/>
  <c r="H105"/>
  <c r="G105"/>
  <c r="F105"/>
  <c r="E105"/>
  <c r="D105" s="1"/>
  <c r="D99"/>
  <c r="D98"/>
  <c r="R97"/>
  <c r="D97"/>
  <c r="U97" s="1"/>
  <c r="P96"/>
  <c r="N96"/>
  <c r="M96"/>
  <c r="L96"/>
  <c r="K96"/>
  <c r="J96"/>
  <c r="I96"/>
  <c r="H96"/>
  <c r="G96"/>
  <c r="F96"/>
  <c r="E96"/>
  <c r="B94"/>
  <c r="C94" s="1"/>
  <c r="B93"/>
  <c r="C93" s="1"/>
  <c r="R92"/>
  <c r="K91"/>
  <c r="H92"/>
  <c r="G92"/>
  <c r="E92"/>
  <c r="P91"/>
  <c r="O91"/>
  <c r="N91"/>
  <c r="M91"/>
  <c r="L91"/>
  <c r="J91"/>
  <c r="I91"/>
  <c r="H91"/>
  <c r="G91"/>
  <c r="F91"/>
  <c r="E91"/>
  <c r="B89"/>
  <c r="C89" s="1"/>
  <c r="B88"/>
  <c r="C88" s="1"/>
  <c r="T87"/>
  <c r="R87"/>
  <c r="P87"/>
  <c r="G87"/>
  <c r="E87"/>
  <c r="D87" s="1"/>
  <c r="P86"/>
  <c r="O86"/>
  <c r="N86"/>
  <c r="M86"/>
  <c r="L86"/>
  <c r="K86"/>
  <c r="J86"/>
  <c r="I86"/>
  <c r="H86"/>
  <c r="G86"/>
  <c r="F86"/>
  <c r="G85"/>
  <c r="E85"/>
  <c r="D85"/>
  <c r="U85" s="1"/>
  <c r="D84"/>
  <c r="D83"/>
  <c r="O82"/>
  <c r="O81" s="1"/>
  <c r="O45" s="1"/>
  <c r="N82"/>
  <c r="M82"/>
  <c r="M81" s="1"/>
  <c r="M45" s="1"/>
  <c r="L82"/>
  <c r="K82"/>
  <c r="K81" s="1"/>
  <c r="K45" s="1"/>
  <c r="I82"/>
  <c r="I81" s="1"/>
  <c r="I45" s="1"/>
  <c r="H82"/>
  <c r="G82"/>
  <c r="G81" s="1"/>
  <c r="E82"/>
  <c r="D82"/>
  <c r="P81"/>
  <c r="N81"/>
  <c r="L81"/>
  <c r="J81"/>
  <c r="H81"/>
  <c r="F81"/>
  <c r="E81"/>
  <c r="B80"/>
  <c r="C80" s="1"/>
  <c r="D79"/>
  <c r="C78"/>
  <c r="B78"/>
  <c r="R77"/>
  <c r="G77"/>
  <c r="E77"/>
  <c r="D77"/>
  <c r="P76"/>
  <c r="O76"/>
  <c r="N76"/>
  <c r="M76"/>
  <c r="L76"/>
  <c r="K76"/>
  <c r="J76"/>
  <c r="I76"/>
  <c r="H76"/>
  <c r="G76"/>
  <c r="F76"/>
  <c r="E76"/>
  <c r="C75"/>
  <c r="B75"/>
  <c r="D74"/>
  <c r="D73"/>
  <c r="C73"/>
  <c r="B73"/>
  <c r="R72"/>
  <c r="G72"/>
  <c r="E72"/>
  <c r="D72"/>
  <c r="P71"/>
  <c r="O71"/>
  <c r="N71"/>
  <c r="M71"/>
  <c r="L71"/>
  <c r="K71"/>
  <c r="J71"/>
  <c r="I71"/>
  <c r="H71"/>
  <c r="G71"/>
  <c r="F71"/>
  <c r="E71"/>
  <c r="C70"/>
  <c r="B70"/>
  <c r="D69"/>
  <c r="D68"/>
  <c r="C68"/>
  <c r="B68"/>
  <c r="S67"/>
  <c r="R67"/>
  <c r="P67"/>
  <c r="M67"/>
  <c r="L67"/>
  <c r="I67"/>
  <c r="I66" s="1"/>
  <c r="G67"/>
  <c r="E67"/>
  <c r="D67" s="1"/>
  <c r="P66"/>
  <c r="O66"/>
  <c r="N66"/>
  <c r="M66"/>
  <c r="L66"/>
  <c r="K66"/>
  <c r="J66"/>
  <c r="H66"/>
  <c r="G66"/>
  <c r="F66"/>
  <c r="B65"/>
  <c r="C65" s="1"/>
  <c r="D64"/>
  <c r="D63"/>
  <c r="B63"/>
  <c r="C63" s="1"/>
  <c r="S62"/>
  <c r="R62"/>
  <c r="O62"/>
  <c r="O61" s="1"/>
  <c r="G62"/>
  <c r="E62"/>
  <c r="D62" s="1"/>
  <c r="P61"/>
  <c r="N61"/>
  <c r="M61"/>
  <c r="L61"/>
  <c r="K61"/>
  <c r="J61"/>
  <c r="I61"/>
  <c r="H61"/>
  <c r="G61"/>
  <c r="F61"/>
  <c r="S60"/>
  <c r="P60"/>
  <c r="I60"/>
  <c r="H60"/>
  <c r="G60"/>
  <c r="E60"/>
  <c r="D60"/>
  <c r="U60" s="1"/>
  <c r="O58"/>
  <c r="N58"/>
  <c r="M58"/>
  <c r="L58"/>
  <c r="K58"/>
  <c r="I58"/>
  <c r="H58"/>
  <c r="G58"/>
  <c r="E58"/>
  <c r="D58" s="1"/>
  <c r="U58" s="1"/>
  <c r="O57"/>
  <c r="G57"/>
  <c r="E57"/>
  <c r="D57" s="1"/>
  <c r="U57" s="1"/>
  <c r="N56"/>
  <c r="M56"/>
  <c r="L56"/>
  <c r="K56"/>
  <c r="G56"/>
  <c r="E56"/>
  <c r="D56" s="1"/>
  <c r="U56" s="1"/>
  <c r="D55"/>
  <c r="P54"/>
  <c r="D54"/>
  <c r="S53"/>
  <c r="R53"/>
  <c r="O52"/>
  <c r="M52"/>
  <c r="M42" s="1"/>
  <c r="K52"/>
  <c r="I53"/>
  <c r="I52" s="1"/>
  <c r="I42" s="1"/>
  <c r="H53"/>
  <c r="G53"/>
  <c r="G52" s="1"/>
  <c r="G42" s="1"/>
  <c r="F53"/>
  <c r="E53"/>
  <c r="D53" s="1"/>
  <c r="D52" s="1"/>
  <c r="R52"/>
  <c r="P52"/>
  <c r="N52"/>
  <c r="L52"/>
  <c r="J52"/>
  <c r="H52"/>
  <c r="F52"/>
  <c r="P51"/>
  <c r="P45" s="1"/>
  <c r="G51"/>
  <c r="E51"/>
  <c r="D51" s="1"/>
  <c r="P49"/>
  <c r="O49"/>
  <c r="N49"/>
  <c r="M49"/>
  <c r="L49"/>
  <c r="K49"/>
  <c r="J49"/>
  <c r="I49"/>
  <c r="H49"/>
  <c r="G49"/>
  <c r="F49"/>
  <c r="E49"/>
  <c r="F47"/>
  <c r="F48" s="1"/>
  <c r="N45"/>
  <c r="L45"/>
  <c r="J45"/>
  <c r="H45"/>
  <c r="F45"/>
  <c r="E45"/>
  <c r="E47" s="1"/>
  <c r="E48" s="1"/>
  <c r="P42"/>
  <c r="N42"/>
  <c r="L42"/>
  <c r="J42"/>
  <c r="H42"/>
  <c r="F42"/>
  <c r="D33"/>
  <c r="P32"/>
  <c r="O32"/>
  <c r="O47" s="1"/>
  <c r="O48" s="1"/>
  <c r="N32"/>
  <c r="M32"/>
  <c r="M47" s="1"/>
  <c r="M48" s="1"/>
  <c r="L32"/>
  <c r="L47" s="1"/>
  <c r="L48" s="1"/>
  <c r="K32"/>
  <c r="K47" s="1"/>
  <c r="K48" s="1"/>
  <c r="J32"/>
  <c r="I32"/>
  <c r="I47" s="1"/>
  <c r="I48" s="1"/>
  <c r="H32"/>
  <c r="H47" s="1"/>
  <c r="H48" s="1"/>
  <c r="D32"/>
  <c r="P30"/>
  <c r="O30"/>
  <c r="N30"/>
  <c r="M30"/>
  <c r="L30"/>
  <c r="K30"/>
  <c r="J30"/>
  <c r="I30"/>
  <c r="H30"/>
  <c r="G30"/>
  <c r="F30"/>
  <c r="E30"/>
  <c r="D30" s="1"/>
  <c r="P92" i="23"/>
  <c r="K92"/>
  <c r="J92"/>
  <c r="T77"/>
  <c r="T72"/>
  <c r="T67"/>
  <c r="T92"/>
  <c r="P60"/>
  <c r="I60"/>
  <c r="D49" i="24" l="1"/>
  <c r="N47"/>
  <c r="N48" s="1"/>
  <c r="D91"/>
  <c r="K42"/>
  <c r="D71"/>
  <c r="U72"/>
  <c r="P47"/>
  <c r="P48" s="1"/>
  <c r="J47"/>
  <c r="J48" s="1"/>
  <c r="D76"/>
  <c r="U77"/>
  <c r="D50"/>
  <c r="C50" s="1"/>
  <c r="O109"/>
  <c r="D81"/>
  <c r="U81" s="1"/>
  <c r="G45"/>
  <c r="G47" s="1"/>
  <c r="G48" s="1"/>
  <c r="U53"/>
  <c r="U62"/>
  <c r="U87"/>
  <c r="U51"/>
  <c r="U67"/>
  <c r="D45"/>
  <c r="E52"/>
  <c r="E61"/>
  <c r="D61" s="1"/>
  <c r="E66"/>
  <c r="D66" s="1"/>
  <c r="E86"/>
  <c r="D86" s="1"/>
  <c r="B92"/>
  <c r="D92"/>
  <c r="U92" s="1"/>
  <c r="O96"/>
  <c r="D96" s="1"/>
  <c r="D30" i="23"/>
  <c r="E30"/>
  <c r="F30"/>
  <c r="G30"/>
  <c r="H30"/>
  <c r="I30"/>
  <c r="J30"/>
  <c r="K30"/>
  <c r="L30"/>
  <c r="M30"/>
  <c r="N30"/>
  <c r="O30"/>
  <c r="P30"/>
  <c r="D32"/>
  <c r="H32"/>
  <c r="I32"/>
  <c r="J32"/>
  <c r="K32"/>
  <c r="L32"/>
  <c r="M32"/>
  <c r="N32"/>
  <c r="O32"/>
  <c r="P32"/>
  <c r="D33"/>
  <c r="E42"/>
  <c r="F42"/>
  <c r="G42"/>
  <c r="H42"/>
  <c r="I42"/>
  <c r="L42"/>
  <c r="M42"/>
  <c r="N42"/>
  <c r="O42"/>
  <c r="E45"/>
  <c r="F45"/>
  <c r="G45"/>
  <c r="H45"/>
  <c r="I45"/>
  <c r="J45"/>
  <c r="J47" s="1"/>
  <c r="J48" s="1"/>
  <c r="K45"/>
  <c r="L45"/>
  <c r="M45"/>
  <c r="N45"/>
  <c r="O45"/>
  <c r="P45"/>
  <c r="E47"/>
  <c r="F47"/>
  <c r="G47"/>
  <c r="H47"/>
  <c r="K47"/>
  <c r="L47"/>
  <c r="M47"/>
  <c r="N47"/>
  <c r="O47"/>
  <c r="P47"/>
  <c r="E48"/>
  <c r="F48"/>
  <c r="G48"/>
  <c r="H48"/>
  <c r="K48"/>
  <c r="L48"/>
  <c r="M48"/>
  <c r="N48"/>
  <c r="O48"/>
  <c r="P48"/>
  <c r="D49"/>
  <c r="E49"/>
  <c r="F49"/>
  <c r="G49"/>
  <c r="H49"/>
  <c r="I49"/>
  <c r="J49"/>
  <c r="K49"/>
  <c r="L49"/>
  <c r="M49"/>
  <c r="N49"/>
  <c r="O49"/>
  <c r="P49"/>
  <c r="C50"/>
  <c r="D50"/>
  <c r="D51"/>
  <c r="E51"/>
  <c r="G51"/>
  <c r="P51"/>
  <c r="U51"/>
  <c r="D52"/>
  <c r="E52"/>
  <c r="F52"/>
  <c r="G52"/>
  <c r="H52"/>
  <c r="I52"/>
  <c r="J52"/>
  <c r="K52"/>
  <c r="L52"/>
  <c r="M52"/>
  <c r="N52"/>
  <c r="O52"/>
  <c r="P52"/>
  <c r="R52"/>
  <c r="U52"/>
  <c r="D53"/>
  <c r="E53"/>
  <c r="F53"/>
  <c r="G53"/>
  <c r="H53"/>
  <c r="I53"/>
  <c r="J53"/>
  <c r="K53"/>
  <c r="L53"/>
  <c r="M53"/>
  <c r="N53"/>
  <c r="O53"/>
  <c r="P53"/>
  <c r="R53"/>
  <c r="S53"/>
  <c r="T53"/>
  <c r="U53"/>
  <c r="D54"/>
  <c r="P54"/>
  <c r="D55"/>
  <c r="D56"/>
  <c r="E56"/>
  <c r="G56"/>
  <c r="K56"/>
  <c r="L56"/>
  <c r="M56"/>
  <c r="N56"/>
  <c r="U56"/>
  <c r="D57"/>
  <c r="E57"/>
  <c r="G57"/>
  <c r="O57"/>
  <c r="P57"/>
  <c r="D58"/>
  <c r="E58"/>
  <c r="G58"/>
  <c r="H58"/>
  <c r="I58"/>
  <c r="J58"/>
  <c r="K58"/>
  <c r="L58"/>
  <c r="M58"/>
  <c r="N58"/>
  <c r="O58"/>
  <c r="P58"/>
  <c r="U58"/>
  <c r="D60"/>
  <c r="U60" s="1"/>
  <c r="E60"/>
  <c r="G60"/>
  <c r="H60"/>
  <c r="S60"/>
  <c r="D61"/>
  <c r="E61"/>
  <c r="F61"/>
  <c r="G61"/>
  <c r="H61"/>
  <c r="I61"/>
  <c r="J61"/>
  <c r="K61"/>
  <c r="L61"/>
  <c r="M61"/>
  <c r="N61"/>
  <c r="O61"/>
  <c r="P61"/>
  <c r="D62"/>
  <c r="E62"/>
  <c r="G62"/>
  <c r="O62"/>
  <c r="P62"/>
  <c r="R62"/>
  <c r="S62"/>
  <c r="T62"/>
  <c r="U62"/>
  <c r="B63"/>
  <c r="C63"/>
  <c r="D63"/>
  <c r="D64"/>
  <c r="B65"/>
  <c r="C65"/>
  <c r="D66"/>
  <c r="E66"/>
  <c r="F66"/>
  <c r="G66"/>
  <c r="H66"/>
  <c r="I66"/>
  <c r="J66"/>
  <c r="K66"/>
  <c r="L66"/>
  <c r="M66"/>
  <c r="N66"/>
  <c r="O66"/>
  <c r="P66"/>
  <c r="D67"/>
  <c r="E67"/>
  <c r="G67"/>
  <c r="I67"/>
  <c r="K67"/>
  <c r="L67"/>
  <c r="M67"/>
  <c r="P67"/>
  <c r="R67"/>
  <c r="S67"/>
  <c r="U67"/>
  <c r="B68"/>
  <c r="C68"/>
  <c r="D68"/>
  <c r="D69"/>
  <c r="B70"/>
  <c r="C70"/>
  <c r="D71"/>
  <c r="E71"/>
  <c r="F71"/>
  <c r="G71"/>
  <c r="H71"/>
  <c r="I71"/>
  <c r="J71"/>
  <c r="K71"/>
  <c r="L71"/>
  <c r="M71"/>
  <c r="N71"/>
  <c r="O71"/>
  <c r="P71"/>
  <c r="D72"/>
  <c r="E72"/>
  <c r="G72"/>
  <c r="P72"/>
  <c r="R72"/>
  <c r="U72"/>
  <c r="B73"/>
  <c r="C73"/>
  <c r="D73"/>
  <c r="D74"/>
  <c r="B75"/>
  <c r="C75"/>
  <c r="D76"/>
  <c r="E76"/>
  <c r="F76"/>
  <c r="G76"/>
  <c r="H76"/>
  <c r="I76"/>
  <c r="J76"/>
  <c r="K76"/>
  <c r="L76"/>
  <c r="M76"/>
  <c r="N76"/>
  <c r="O76"/>
  <c r="P76"/>
  <c r="D77"/>
  <c r="E77"/>
  <c r="G77"/>
  <c r="P77"/>
  <c r="R77"/>
  <c r="U77"/>
  <c r="B78"/>
  <c r="C78"/>
  <c r="D79"/>
  <c r="B80"/>
  <c r="C80"/>
  <c r="D81"/>
  <c r="E81"/>
  <c r="F81"/>
  <c r="G81"/>
  <c r="H81"/>
  <c r="I81"/>
  <c r="J81"/>
  <c r="K81"/>
  <c r="L81"/>
  <c r="M81"/>
  <c r="N81"/>
  <c r="O81"/>
  <c r="P81"/>
  <c r="U81"/>
  <c r="D82"/>
  <c r="E82"/>
  <c r="G82"/>
  <c r="H82"/>
  <c r="I82"/>
  <c r="J82"/>
  <c r="K82"/>
  <c r="L82"/>
  <c r="M82"/>
  <c r="N82"/>
  <c r="O82"/>
  <c r="P82"/>
  <c r="D83"/>
  <c r="D84"/>
  <c r="D85"/>
  <c r="E85"/>
  <c r="G85"/>
  <c r="U85"/>
  <c r="D86"/>
  <c r="E86"/>
  <c r="F86"/>
  <c r="G86"/>
  <c r="H86"/>
  <c r="I86"/>
  <c r="J86"/>
  <c r="K86"/>
  <c r="L86"/>
  <c r="M86"/>
  <c r="N86"/>
  <c r="O86"/>
  <c r="P86"/>
  <c r="D87"/>
  <c r="E87"/>
  <c r="G87"/>
  <c r="P87"/>
  <c r="R87"/>
  <c r="T87"/>
  <c r="U87"/>
  <c r="B88"/>
  <c r="C88"/>
  <c r="B89"/>
  <c r="C89"/>
  <c r="E91"/>
  <c r="F91"/>
  <c r="G91"/>
  <c r="H91"/>
  <c r="I91"/>
  <c r="J91"/>
  <c r="J42" s="1"/>
  <c r="K91"/>
  <c r="K42" s="1"/>
  <c r="L91"/>
  <c r="M91"/>
  <c r="N91"/>
  <c r="O91"/>
  <c r="P91"/>
  <c r="P42" s="1"/>
  <c r="B92"/>
  <c r="D92"/>
  <c r="U92" s="1"/>
  <c r="E92"/>
  <c r="G92"/>
  <c r="H92"/>
  <c r="M92"/>
  <c r="N92"/>
  <c r="O92"/>
  <c r="R92"/>
  <c r="B93"/>
  <c r="C93"/>
  <c r="B94"/>
  <c r="C94"/>
  <c r="D96"/>
  <c r="E96"/>
  <c r="F96"/>
  <c r="G96"/>
  <c r="H96"/>
  <c r="I96"/>
  <c r="J96"/>
  <c r="K96"/>
  <c r="L96"/>
  <c r="M96"/>
  <c r="N96"/>
  <c r="O96"/>
  <c r="P96"/>
  <c r="D97"/>
  <c r="O97"/>
  <c r="P97"/>
  <c r="R97"/>
  <c r="T97"/>
  <c r="U97"/>
  <c r="D98"/>
  <c r="D99"/>
  <c r="D105"/>
  <c r="E105"/>
  <c r="F105"/>
  <c r="G105"/>
  <c r="H105"/>
  <c r="I105"/>
  <c r="J105"/>
  <c r="K105"/>
  <c r="L105"/>
  <c r="M105"/>
  <c r="N105"/>
  <c r="O105"/>
  <c r="P105"/>
  <c r="D106"/>
  <c r="P106"/>
  <c r="U106"/>
  <c r="D107"/>
  <c r="E109"/>
  <c r="O109"/>
  <c r="C92" i="24" l="1"/>
  <c r="D42"/>
  <c r="D44"/>
  <c r="D47"/>
  <c r="D48" s="1"/>
  <c r="D46"/>
  <c r="C46" s="1"/>
  <c r="O42"/>
  <c r="E42"/>
  <c r="E109"/>
  <c r="C92" i="23"/>
  <c r="D91"/>
  <c r="D42" s="1"/>
  <c r="D43"/>
  <c r="U57"/>
  <c r="D45"/>
  <c r="D44" s="1"/>
  <c r="I47"/>
  <c r="I48" s="1"/>
  <c r="D46"/>
  <c r="C46" s="1"/>
  <c r="D43" i="24" l="1"/>
  <c r="C44"/>
  <c r="C44" i="23"/>
  <c r="D47"/>
  <c r="D48" s="1"/>
</calcChain>
</file>

<file path=xl/sharedStrings.xml><?xml version="1.0" encoding="utf-8"?>
<sst xmlns="http://schemas.openxmlformats.org/spreadsheetml/2006/main" count="683" uniqueCount="94">
  <si>
    <t>к Порядку составления и ведения</t>
  </si>
  <si>
    <t>кассового плана исполнения</t>
  </si>
  <si>
    <t>городского бюджета</t>
  </si>
  <si>
    <t>УТВЕРЖДАЮ</t>
  </si>
  <si>
    <t>Заместитель мэра-начальник</t>
  </si>
  <si>
    <t>ФКУ администрации города Астрахани</t>
  </si>
  <si>
    <t>__________________________________</t>
  </si>
  <si>
    <t>(подпись)</t>
  </si>
  <si>
    <t>(Ф.И.О.)</t>
  </si>
  <si>
    <t>"______"</t>
  </si>
  <si>
    <t>года</t>
  </si>
  <si>
    <t>___________________</t>
  </si>
  <si>
    <t>Кассовый план</t>
  </si>
  <si>
    <t>Наименование показателя</t>
  </si>
  <si>
    <t>В том числе по месяцам</t>
  </si>
  <si>
    <t>я</t>
  </si>
  <si>
    <t>н</t>
  </si>
  <si>
    <t>в</t>
  </si>
  <si>
    <t>а</t>
  </si>
  <si>
    <t>р</t>
  </si>
  <si>
    <t>ь</t>
  </si>
  <si>
    <t>ф</t>
  </si>
  <si>
    <t>е</t>
  </si>
  <si>
    <t>л</t>
  </si>
  <si>
    <t>м</t>
  </si>
  <si>
    <t>т</t>
  </si>
  <si>
    <t>и</t>
  </si>
  <si>
    <t>ю</t>
  </si>
  <si>
    <t>г</t>
  </si>
  <si>
    <t>у</t>
  </si>
  <si>
    <t>с</t>
  </si>
  <si>
    <t>б</t>
  </si>
  <si>
    <t>о</t>
  </si>
  <si>
    <t>к</t>
  </si>
  <si>
    <t>д</t>
  </si>
  <si>
    <t>п</t>
  </si>
  <si>
    <t>й</t>
  </si>
  <si>
    <t xml:space="preserve">I. Прогноз кассовых </t>
  </si>
  <si>
    <t xml:space="preserve">поступлений в городской </t>
  </si>
  <si>
    <t>бюджет</t>
  </si>
  <si>
    <t>Доходы городского бюджета</t>
  </si>
  <si>
    <t>в том числе</t>
  </si>
  <si>
    <t>Безвозмездные поступления</t>
  </si>
  <si>
    <t>из них</t>
  </si>
  <si>
    <t>…</t>
  </si>
  <si>
    <t xml:space="preserve">Поступления от источников </t>
  </si>
  <si>
    <t>финансирования дефицита</t>
  </si>
  <si>
    <t xml:space="preserve">II.Прогноз кассовых выплат </t>
  </si>
  <si>
    <t>из городского бюджета</t>
  </si>
  <si>
    <t>Расходы городского бюджета</t>
  </si>
  <si>
    <t>Выплаты по источникам</t>
  </si>
  <si>
    <t>Начальник отдела бухгалтерского учета и отчетности____________</t>
  </si>
  <si>
    <t>Исполнитель____________________________________</t>
  </si>
  <si>
    <t>Приложение №1</t>
  </si>
  <si>
    <t>701 Городская Дума</t>
  </si>
  <si>
    <t>702 Администрация города</t>
  </si>
  <si>
    <t>703 Избирательная комиссия</t>
  </si>
  <si>
    <t>704 Контрольно-счетная палата</t>
  </si>
  <si>
    <t>городские средства</t>
  </si>
  <si>
    <t>обслуживание внутреннего долга</t>
  </si>
  <si>
    <t>областные</t>
  </si>
  <si>
    <t>707 Финансово-казначейское управление</t>
  </si>
  <si>
    <t>711 Администрация Кировского района</t>
  </si>
  <si>
    <t>712 Администрация Ленинского  района</t>
  </si>
  <si>
    <t>713  Администрация Советского района</t>
  </si>
  <si>
    <t>714 Администрация  Трусовского района</t>
  </si>
  <si>
    <t>732 Жилищное управление</t>
  </si>
  <si>
    <t>733 Управление по строительству,архитектуре и градостроительству</t>
  </si>
  <si>
    <t>741 Управление  по образованию и науки</t>
  </si>
  <si>
    <t>737  Управление по капитальному строительству,градостроительной , строительной и жилищной политике</t>
  </si>
  <si>
    <t>738 Управление по коммунальному хозяйству и благоустройству</t>
  </si>
  <si>
    <t>областные средства</t>
  </si>
  <si>
    <t>городские средства (аппарат)</t>
  </si>
  <si>
    <t xml:space="preserve">городские средства </t>
  </si>
  <si>
    <t xml:space="preserve">в том числе: </t>
  </si>
  <si>
    <t>Налоговые и неналоговые  доходы</t>
  </si>
  <si>
    <t>Сумма на год,  тыс.рублей</t>
  </si>
  <si>
    <t>%</t>
  </si>
  <si>
    <t>дефицит/профицит</t>
  </si>
  <si>
    <t>федеральные средства</t>
  </si>
  <si>
    <t>706 Управление муниципального имущества</t>
  </si>
  <si>
    <t>….</t>
  </si>
  <si>
    <t>739 Управление  культуры</t>
  </si>
  <si>
    <t>март</t>
  </si>
  <si>
    <t>исполнения городского бюджета на _2016__год</t>
  </si>
  <si>
    <t>Решение от 31.03.2016</t>
  </si>
  <si>
    <t>июнь уточн</t>
  </si>
  <si>
    <t>Заместитель главы администрации-начальник</t>
  </si>
  <si>
    <t>исполнения городского бюджета на _2018__год</t>
  </si>
  <si>
    <t>на 31.08.2018</t>
  </si>
  <si>
    <t>городские средства (аппарат)(Бюжет.отд.)</t>
  </si>
  <si>
    <t>городские средства (аппарат)(Бюджет.отд.)</t>
  </si>
  <si>
    <t>ЕПАНЧИНА</t>
  </si>
  <si>
    <t>КАЛЕМАГИНА</t>
  </si>
</sst>
</file>

<file path=xl/styles.xml><?xml version="1.0" encoding="utf-8"?>
<styleSheet xmlns="http://schemas.openxmlformats.org/spreadsheetml/2006/main">
  <numFmts count="5">
    <numFmt numFmtId="164" formatCode="_-* #,##0.00_р_._-;\-* #,##0.00_р_._-;_-* &quot;-&quot;??_р_._-;_-@_-"/>
    <numFmt numFmtId="165" formatCode="_-* #,##0.0_р_._-;\-* #,##0.0_р_._-;_-* &quot;-&quot;??_р_._-;_-@_-"/>
    <numFmt numFmtId="166" formatCode="0.0"/>
    <numFmt numFmtId="167" formatCode="#,##0.0"/>
    <numFmt numFmtId="168" formatCode="_-* #,##0.0_р_._-;\-* #,##0.0_р_._-;_-* &quot;-&quot;?_р_._-;_-@_-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E0FC9A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3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6" xfId="0" applyFont="1" applyBorder="1"/>
    <xf numFmtId="0" fontId="2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165" fontId="1" fillId="0" borderId="14" xfId="1" applyNumberFormat="1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0" xfId="0" applyFont="1"/>
    <xf numFmtId="166" fontId="0" fillId="0" borderId="5" xfId="0" applyNumberFormat="1" applyBorder="1"/>
    <xf numFmtId="166" fontId="2" fillId="0" borderId="5" xfId="0" applyNumberFormat="1" applyFont="1" applyBorder="1"/>
    <xf numFmtId="0" fontId="2" fillId="0" borderId="5" xfId="0" applyFont="1" applyBorder="1"/>
    <xf numFmtId="0" fontId="2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4" fillId="0" borderId="26" xfId="0" applyFont="1" applyBorder="1"/>
    <xf numFmtId="0" fontId="5" fillId="0" borderId="24" xfId="0" applyFont="1" applyBorder="1"/>
    <xf numFmtId="0" fontId="2" fillId="0" borderId="24" xfId="0" applyFont="1" applyBorder="1"/>
    <xf numFmtId="0" fontId="2" fillId="0" borderId="24" xfId="0" applyFont="1" applyBorder="1" applyAlignment="1">
      <alignment wrapText="1"/>
    </xf>
    <xf numFmtId="0" fontId="5" fillId="0" borderId="27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0" fillId="0" borderId="27" xfId="0" applyBorder="1"/>
    <xf numFmtId="0" fontId="0" fillId="0" borderId="28" xfId="0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165" fontId="1" fillId="0" borderId="33" xfId="1" applyNumberFormat="1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26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26" xfId="0" applyBorder="1"/>
    <xf numFmtId="0" fontId="0" fillId="0" borderId="40" xfId="0" applyBorder="1"/>
    <xf numFmtId="0" fontId="0" fillId="0" borderId="41" xfId="0" applyBorder="1"/>
    <xf numFmtId="0" fontId="0" fillId="0" borderId="0" xfId="0" applyFill="1" applyBorder="1"/>
    <xf numFmtId="167" fontId="0" fillId="0" borderId="17" xfId="0" applyNumberFormat="1" applyBorder="1"/>
    <xf numFmtId="167" fontId="5" fillId="0" borderId="27" xfId="0" applyNumberFormat="1" applyFont="1" applyBorder="1" applyAlignment="1">
      <alignment wrapText="1"/>
    </xf>
    <xf numFmtId="0" fontId="2" fillId="2" borderId="24" xfId="0" applyFont="1" applyFill="1" applyBorder="1" applyAlignment="1">
      <alignment wrapText="1"/>
    </xf>
    <xf numFmtId="0" fontId="2" fillId="2" borderId="17" xfId="0" applyFont="1" applyFill="1" applyBorder="1"/>
    <xf numFmtId="166" fontId="0" fillId="0" borderId="34" xfId="0" applyNumberFormat="1" applyFont="1" applyFill="1" applyBorder="1"/>
    <xf numFmtId="0" fontId="0" fillId="0" borderId="17" xfId="0" applyFont="1" applyFill="1" applyBorder="1"/>
    <xf numFmtId="0" fontId="0" fillId="0" borderId="0" xfId="0" applyFont="1" applyFill="1"/>
    <xf numFmtId="166" fontId="0" fillId="0" borderId="17" xfId="0" applyNumberFormat="1" applyBorder="1"/>
    <xf numFmtId="167" fontId="0" fillId="0" borderId="6" xfId="0" applyNumberFormat="1" applyBorder="1"/>
    <xf numFmtId="166" fontId="0" fillId="0" borderId="34" xfId="0" applyNumberFormat="1" applyFill="1" applyBorder="1"/>
    <xf numFmtId="0" fontId="4" fillId="0" borderId="42" xfId="0" applyFont="1" applyBorder="1"/>
    <xf numFmtId="165" fontId="0" fillId="0" borderId="43" xfId="0" applyNumberFormat="1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166" fontId="0" fillId="0" borderId="47" xfId="0" applyNumberFormat="1" applyBorder="1"/>
    <xf numFmtId="166" fontId="5" fillId="0" borderId="24" xfId="0" applyNumberFormat="1" applyFont="1" applyBorder="1"/>
    <xf numFmtId="167" fontId="2" fillId="0" borderId="34" xfId="0" applyNumberFormat="1" applyFont="1" applyBorder="1"/>
    <xf numFmtId="165" fontId="0" fillId="0" borderId="32" xfId="0" applyNumberFormat="1" applyFill="1" applyBorder="1"/>
    <xf numFmtId="168" fontId="0" fillId="0" borderId="0" xfId="0" applyNumberFormat="1" applyFill="1"/>
    <xf numFmtId="166" fontId="2" fillId="0" borderId="0" xfId="0" applyNumberFormat="1" applyFont="1"/>
    <xf numFmtId="2" fontId="2" fillId="0" borderId="0" xfId="0" applyNumberFormat="1" applyFont="1"/>
    <xf numFmtId="0" fontId="2" fillId="0" borderId="0" xfId="0" applyFont="1" applyFill="1" applyBorder="1"/>
    <xf numFmtId="167" fontId="0" fillId="0" borderId="0" xfId="0" applyNumberFormat="1" applyFill="1" applyBorder="1"/>
    <xf numFmtId="0" fontId="0" fillId="0" borderId="0" xfId="0" applyFill="1"/>
    <xf numFmtId="166" fontId="2" fillId="2" borderId="24" xfId="0" applyNumberFormat="1" applyFont="1" applyFill="1" applyBorder="1" applyAlignment="1">
      <alignment wrapText="1"/>
    </xf>
    <xf numFmtId="165" fontId="0" fillId="3" borderId="1" xfId="0" applyNumberFormat="1" applyFill="1" applyBorder="1"/>
    <xf numFmtId="166" fontId="5" fillId="0" borderId="24" xfId="0" applyNumberFormat="1" applyFont="1" applyBorder="1" applyAlignment="1">
      <alignment vertical="top" wrapText="1"/>
    </xf>
    <xf numFmtId="165" fontId="1" fillId="3" borderId="17" xfId="1" applyNumberFormat="1" applyFont="1" applyFill="1" applyBorder="1" applyAlignment="1">
      <alignment horizontal="center" vertical="center"/>
    </xf>
    <xf numFmtId="0" fontId="0" fillId="3" borderId="23" xfId="0" applyFill="1" applyBorder="1"/>
    <xf numFmtId="0" fontId="4" fillId="3" borderId="23" xfId="0" applyFont="1" applyFill="1" applyBorder="1"/>
    <xf numFmtId="166" fontId="2" fillId="3" borderId="24" xfId="0" applyNumberFormat="1" applyFont="1" applyFill="1" applyBorder="1"/>
    <xf numFmtId="0" fontId="0" fillId="3" borderId="48" xfId="0" applyFill="1" applyBorder="1"/>
    <xf numFmtId="0" fontId="0" fillId="3" borderId="7" xfId="0" applyFill="1" applyBorder="1"/>
    <xf numFmtId="0" fontId="0" fillId="3" borderId="9" xfId="0" applyFill="1" applyBorder="1"/>
    <xf numFmtId="0" fontId="5" fillId="3" borderId="24" xfId="0" applyFont="1" applyFill="1" applyBorder="1"/>
    <xf numFmtId="167" fontId="2" fillId="3" borderId="34" xfId="0" applyNumberFormat="1" applyFont="1" applyFill="1" applyBorder="1"/>
    <xf numFmtId="165" fontId="0" fillId="3" borderId="1" xfId="0" applyNumberFormat="1" applyFill="1" applyBorder="1" applyAlignment="1">
      <alignment horizontal="right"/>
    </xf>
    <xf numFmtId="165" fontId="2" fillId="4" borderId="32" xfId="0" applyNumberFormat="1" applyFont="1" applyFill="1" applyBorder="1"/>
    <xf numFmtId="4" fontId="0" fillId="0" borderId="0" xfId="0" applyNumberFormat="1"/>
    <xf numFmtId="2" fontId="0" fillId="0" borderId="0" xfId="0" applyNumberFormat="1"/>
    <xf numFmtId="167" fontId="0" fillId="0" borderId="0" xfId="0" applyNumberFormat="1"/>
    <xf numFmtId="0" fontId="5" fillId="5" borderId="27" xfId="0" applyFont="1" applyFill="1" applyBorder="1" applyAlignment="1">
      <alignment wrapText="1"/>
    </xf>
    <xf numFmtId="0" fontId="0" fillId="0" borderId="49" xfId="0" applyBorder="1" applyAlignment="1">
      <alignment horizontal="center"/>
    </xf>
    <xf numFmtId="0" fontId="0" fillId="0" borderId="47" xfId="0" applyBorder="1"/>
    <xf numFmtId="0" fontId="0" fillId="0" borderId="0" xfId="0" applyBorder="1"/>
    <xf numFmtId="0" fontId="0" fillId="0" borderId="48" xfId="0" applyBorder="1"/>
    <xf numFmtId="0" fontId="0" fillId="0" borderId="50" xfId="0" applyBorder="1"/>
    <xf numFmtId="0" fontId="0" fillId="0" borderId="51" xfId="0" applyBorder="1"/>
    <xf numFmtId="0" fontId="0" fillId="0" borderId="17" xfId="0" applyBorder="1"/>
    <xf numFmtId="0" fontId="0" fillId="0" borderId="0" xfId="0"/>
    <xf numFmtId="0" fontId="0" fillId="5" borderId="17" xfId="0" applyFill="1" applyBorder="1"/>
    <xf numFmtId="0" fontId="0" fillId="5" borderId="6" xfId="0" applyFill="1" applyBorder="1"/>
    <xf numFmtId="0" fontId="0" fillId="5" borderId="18" xfId="0" applyFill="1" applyBorder="1"/>
    <xf numFmtId="0" fontId="0" fillId="5" borderId="0" xfId="0" applyFill="1" applyBorder="1"/>
    <xf numFmtId="167" fontId="5" fillId="5" borderId="27" xfId="0" applyNumberFormat="1" applyFont="1" applyFill="1" applyBorder="1" applyAlignment="1">
      <alignment wrapText="1"/>
    </xf>
    <xf numFmtId="0" fontId="0" fillId="5" borderId="17" xfId="0" applyFont="1" applyFill="1" applyBorder="1"/>
    <xf numFmtId="0" fontId="0" fillId="5" borderId="0" xfId="0" applyFont="1" applyFill="1"/>
    <xf numFmtId="0" fontId="0" fillId="5" borderId="0" xfId="0" applyFill="1"/>
    <xf numFmtId="0" fontId="2" fillId="5" borderId="24" xfId="0" applyFont="1" applyFill="1" applyBorder="1" applyAlignment="1">
      <alignment wrapText="1"/>
    </xf>
    <xf numFmtId="0" fontId="2" fillId="5" borderId="17" xfId="0" applyFont="1" applyFill="1" applyBorder="1"/>
    <xf numFmtId="0" fontId="2" fillId="5" borderId="5" xfId="0" applyFont="1" applyFill="1" applyBorder="1"/>
    <xf numFmtId="0" fontId="2" fillId="5" borderId="0" xfId="0" applyFont="1" applyFill="1"/>
    <xf numFmtId="0" fontId="2" fillId="5" borderId="6" xfId="0" applyFont="1" applyFill="1" applyBorder="1"/>
    <xf numFmtId="166" fontId="2" fillId="5" borderId="0" xfId="0" applyNumberFormat="1" applyFont="1" applyFill="1"/>
    <xf numFmtId="0" fontId="0" fillId="5" borderId="19" xfId="0" applyFill="1" applyBorder="1"/>
    <xf numFmtId="0" fontId="0" fillId="5" borderId="5" xfId="0" applyFill="1" applyBorder="1"/>
    <xf numFmtId="0" fontId="0" fillId="5" borderId="2" xfId="0" applyFill="1" applyBorder="1"/>
    <xf numFmtId="166" fontId="0" fillId="5" borderId="2" xfId="0" applyNumberFormat="1" applyFont="1" applyFill="1" applyBorder="1"/>
    <xf numFmtId="166" fontId="0" fillId="5" borderId="17" xfId="0" applyNumberFormat="1" applyFill="1" applyBorder="1"/>
    <xf numFmtId="167" fontId="0" fillId="5" borderId="6" xfId="0" applyNumberFormat="1" applyFill="1" applyBorder="1"/>
    <xf numFmtId="167" fontId="0" fillId="5" borderId="17" xfId="0" applyNumberFormat="1" applyFill="1" applyBorder="1"/>
    <xf numFmtId="0" fontId="0" fillId="0" borderId="17" xfId="0" applyFont="1" applyBorder="1"/>
    <xf numFmtId="165" fontId="1" fillId="6" borderId="6" xfId="1" applyNumberFormat="1" applyFont="1" applyFill="1" applyBorder="1" applyAlignment="1">
      <alignment vertical="center"/>
    </xf>
    <xf numFmtId="0" fontId="0" fillId="6" borderId="27" xfId="0" applyFill="1" applyBorder="1" applyAlignment="1">
      <alignment wrapText="1"/>
    </xf>
    <xf numFmtId="165" fontId="1" fillId="6" borderId="34" xfId="1" applyNumberFormat="1" applyFont="1" applyFill="1" applyBorder="1" applyAlignment="1">
      <alignment horizontal="center" vertical="center"/>
    </xf>
    <xf numFmtId="0" fontId="0" fillId="0" borderId="2" xfId="0" applyBorder="1"/>
    <xf numFmtId="0" fontId="0" fillId="0" borderId="49" xfId="0" applyBorder="1"/>
    <xf numFmtId="165" fontId="1" fillId="0" borderId="7" xfId="1" applyNumberFormat="1" applyFont="1" applyBorder="1" applyAlignment="1">
      <alignment horizontal="center" vertical="center"/>
    </xf>
    <xf numFmtId="165" fontId="1" fillId="6" borderId="18" xfId="1" applyNumberFormat="1" applyFont="1" applyFill="1" applyBorder="1" applyAlignment="1">
      <alignment vertical="center"/>
    </xf>
    <xf numFmtId="165" fontId="1" fillId="0" borderId="32" xfId="1" applyNumberFormat="1" applyFont="1" applyBorder="1" applyAlignment="1">
      <alignment horizontal="center" vertical="center"/>
    </xf>
    <xf numFmtId="165" fontId="1" fillId="0" borderId="50" xfId="1" applyNumberFormat="1" applyFont="1" applyBorder="1" applyAlignment="1">
      <alignment horizontal="center" vertical="center"/>
    </xf>
    <xf numFmtId="165" fontId="1" fillId="0" borderId="13" xfId="1" applyNumberFormat="1" applyFont="1" applyBorder="1" applyAlignment="1">
      <alignment horizontal="center" vertical="center"/>
    </xf>
    <xf numFmtId="165" fontId="1" fillId="0" borderId="36" xfId="1" applyNumberFormat="1" applyFont="1" applyBorder="1" applyAlignment="1">
      <alignment horizontal="center" vertical="center"/>
    </xf>
    <xf numFmtId="165" fontId="1" fillId="0" borderId="37" xfId="1" applyNumberFormat="1" applyFont="1" applyBorder="1" applyAlignment="1">
      <alignment horizontal="center" vertical="center"/>
    </xf>
    <xf numFmtId="165" fontId="1" fillId="0" borderId="38" xfId="1" applyNumberFormat="1" applyFont="1" applyBorder="1" applyAlignment="1">
      <alignment horizontal="center" vertical="center"/>
    </xf>
    <xf numFmtId="165" fontId="1" fillId="0" borderId="39" xfId="1" applyNumberFormat="1" applyFont="1" applyBorder="1" applyAlignment="1">
      <alignment horizontal="center" vertical="center"/>
    </xf>
    <xf numFmtId="0" fontId="0" fillId="0" borderId="25" xfId="0" applyBorder="1" applyAlignment="1">
      <alignment wrapText="1"/>
    </xf>
    <xf numFmtId="0" fontId="0" fillId="0" borderId="52" xfId="0" applyBorder="1"/>
    <xf numFmtId="0" fontId="0" fillId="6" borderId="34" xfId="0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5" fillId="0" borderId="1" xfId="0" applyFont="1" applyBorder="1" applyAlignment="1">
      <alignment wrapText="1"/>
    </xf>
    <xf numFmtId="4" fontId="0" fillId="0" borderId="1" xfId="0" applyNumberFormat="1" applyBorder="1"/>
    <xf numFmtId="4" fontId="5" fillId="7" borderId="27" xfId="0" applyNumberFormat="1" applyFont="1" applyFill="1" applyBorder="1" applyAlignment="1">
      <alignment wrapText="1"/>
    </xf>
    <xf numFmtId="0" fontId="2" fillId="8" borderId="0" xfId="0" applyFont="1" applyFill="1"/>
    <xf numFmtId="0" fontId="0" fillId="8" borderId="0" xfId="0" applyFill="1"/>
    <xf numFmtId="166" fontId="2" fillId="0" borderId="34" xfId="0" applyNumberFormat="1" applyFont="1" applyFill="1" applyBorder="1"/>
    <xf numFmtId="2" fontId="2" fillId="0" borderId="34" xfId="0" applyNumberFormat="1" applyFont="1" applyFill="1" applyBorder="1"/>
    <xf numFmtId="4" fontId="0" fillId="0" borderId="34" xfId="0" applyNumberFormat="1" applyFill="1" applyBorder="1"/>
    <xf numFmtId="0" fontId="0" fillId="0" borderId="35" xfId="0" applyFill="1" applyBorder="1"/>
    <xf numFmtId="0" fontId="0" fillId="0" borderId="31" xfId="0" applyFill="1" applyBorder="1"/>
    <xf numFmtId="0" fontId="0" fillId="0" borderId="32" xfId="0" applyFill="1" applyBorder="1"/>
    <xf numFmtId="0" fontId="0" fillId="0" borderId="34" xfId="0" applyFill="1" applyBorder="1"/>
    <xf numFmtId="0" fontId="0" fillId="0" borderId="4" xfId="0" applyFill="1" applyBorder="1"/>
    <xf numFmtId="166" fontId="2" fillId="0" borderId="1" xfId="0" applyNumberFormat="1" applyFont="1" applyFill="1" applyBorder="1"/>
    <xf numFmtId="0" fontId="2" fillId="0" borderId="0" xfId="0" applyFont="1" applyFill="1"/>
    <xf numFmtId="2" fontId="2" fillId="0" borderId="0" xfId="0" applyNumberFormat="1" applyFont="1" applyFill="1"/>
    <xf numFmtId="167" fontId="2" fillId="8" borderId="0" xfId="0" applyNumberFormat="1" applyFont="1" applyFill="1"/>
    <xf numFmtId="0" fontId="2" fillId="9" borderId="17" xfId="0" applyFont="1" applyFill="1" applyBorder="1"/>
    <xf numFmtId="0" fontId="0" fillId="9" borderId="17" xfId="0" applyFill="1" applyBorder="1"/>
    <xf numFmtId="0" fontId="0" fillId="9" borderId="17" xfId="0" applyFont="1" applyFill="1" applyBorder="1"/>
    <xf numFmtId="0" fontId="2" fillId="10" borderId="0" xfId="0" applyFont="1" applyFill="1"/>
    <xf numFmtId="166" fontId="0" fillId="9" borderId="34" xfId="0" applyNumberFormat="1" applyFill="1" applyBorder="1"/>
    <xf numFmtId="0" fontId="0" fillId="10" borderId="0" xfId="0" applyFill="1" applyBorder="1"/>
    <xf numFmtId="166" fontId="0" fillId="7" borderId="34" xfId="0" applyNumberFormat="1" applyFill="1" applyBorder="1"/>
    <xf numFmtId="2" fontId="0" fillId="8" borderId="0" xfId="0" applyNumberFormat="1" applyFill="1"/>
    <xf numFmtId="2" fontId="0" fillId="7" borderId="34" xfId="0" applyNumberFormat="1" applyFill="1" applyBorder="1"/>
    <xf numFmtId="167" fontId="2" fillId="7" borderId="34" xfId="0" applyNumberFormat="1" applyFont="1" applyFill="1" applyBorder="1"/>
    <xf numFmtId="166" fontId="2" fillId="8" borderId="0" xfId="0" applyNumberFormat="1" applyFont="1" applyFill="1"/>
    <xf numFmtId="2" fontId="2" fillId="8" borderId="0" xfId="0" applyNumberFormat="1" applyFont="1" applyFill="1"/>
    <xf numFmtId="166" fontId="0" fillId="8" borderId="0" xfId="0" applyNumberFormat="1" applyFill="1"/>
    <xf numFmtId="166" fontId="2" fillId="10" borderId="0" xfId="0" applyNumberFormat="1" applyFont="1" applyFill="1"/>
    <xf numFmtId="166" fontId="0" fillId="10" borderId="0" xfId="0" applyNumberFormat="1" applyFill="1"/>
    <xf numFmtId="0" fontId="0" fillId="10" borderId="0" xfId="0" applyFill="1"/>
    <xf numFmtId="166" fontId="0" fillId="7" borderId="34" xfId="0" applyNumberFormat="1" applyFont="1" applyFill="1" applyBorder="1"/>
    <xf numFmtId="166" fontId="0" fillId="8" borderId="0" xfId="0" applyNumberFormat="1" applyFont="1" applyFill="1"/>
    <xf numFmtId="0" fontId="0" fillId="7" borderId="2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7" borderId="38" xfId="0" applyFill="1" applyBorder="1" applyAlignment="1">
      <alignment horizontal="center"/>
    </xf>
    <xf numFmtId="0" fontId="0" fillId="7" borderId="10" xfId="0" applyFill="1" applyBorder="1"/>
    <xf numFmtId="0" fontId="0" fillId="7" borderId="2" xfId="0" applyFill="1" applyBorder="1"/>
    <xf numFmtId="165" fontId="1" fillId="7" borderId="38" xfId="1" applyNumberFormat="1" applyFont="1" applyFill="1" applyBorder="1" applyAlignment="1">
      <alignment horizontal="center" vertical="center"/>
    </xf>
    <xf numFmtId="165" fontId="1" fillId="7" borderId="7" xfId="1" applyNumberFormat="1" applyFont="1" applyFill="1" applyBorder="1" applyAlignment="1">
      <alignment horizontal="center" vertical="center"/>
    </xf>
    <xf numFmtId="165" fontId="1" fillId="7" borderId="6" xfId="1" applyNumberFormat="1" applyFont="1" applyFill="1" applyBorder="1" applyAlignment="1">
      <alignment vertical="center"/>
    </xf>
    <xf numFmtId="165" fontId="1" fillId="7" borderId="14" xfId="1" applyNumberFormat="1" applyFont="1" applyFill="1" applyBorder="1" applyAlignment="1">
      <alignment horizontal="center" vertical="center"/>
    </xf>
    <xf numFmtId="0" fontId="0" fillId="7" borderId="7" xfId="0" applyFill="1" applyBorder="1"/>
    <xf numFmtId="0" fontId="0" fillId="7" borderId="1" xfId="0" applyFill="1" applyBorder="1"/>
    <xf numFmtId="0" fontId="0" fillId="7" borderId="45" xfId="0" applyFill="1" applyBorder="1"/>
    <xf numFmtId="165" fontId="1" fillId="7" borderId="17" xfId="1" applyNumberFormat="1" applyFont="1" applyFill="1" applyBorder="1" applyAlignment="1">
      <alignment horizontal="center" vertical="center"/>
    </xf>
    <xf numFmtId="168" fontId="0" fillId="7" borderId="0" xfId="0" applyNumberFormat="1" applyFill="1"/>
    <xf numFmtId="165" fontId="0" fillId="7" borderId="1" xfId="0" applyNumberFormat="1" applyFill="1" applyBorder="1"/>
    <xf numFmtId="166" fontId="0" fillId="7" borderId="5" xfId="0" applyNumberFormat="1" applyFill="1" applyBorder="1"/>
    <xf numFmtId="166" fontId="0" fillId="7" borderId="17" xfId="0" applyNumberFormat="1" applyFill="1" applyBorder="1"/>
    <xf numFmtId="0" fontId="2" fillId="7" borderId="6" xfId="0" applyFont="1" applyFill="1" applyBorder="1"/>
    <xf numFmtId="0" fontId="0" fillId="7" borderId="6" xfId="0" applyFill="1" applyBorder="1"/>
    <xf numFmtId="0" fontId="0" fillId="7" borderId="17" xfId="0" applyFill="1" applyBorder="1"/>
    <xf numFmtId="0" fontId="2" fillId="7" borderId="17" xfId="0" applyFont="1" applyFill="1" applyBorder="1"/>
    <xf numFmtId="167" fontId="0" fillId="7" borderId="17" xfId="0" applyNumberFormat="1" applyFill="1" applyBorder="1"/>
    <xf numFmtId="167" fontId="0" fillId="7" borderId="6" xfId="0" applyNumberFormat="1" applyFill="1" applyBorder="1"/>
    <xf numFmtId="0" fontId="0" fillId="7" borderId="17" xfId="0" applyFont="1" applyFill="1" applyBorder="1"/>
    <xf numFmtId="0" fontId="2" fillId="7" borderId="1" xfId="0" applyFont="1" applyFill="1" applyBorder="1"/>
    <xf numFmtId="167" fontId="2" fillId="0" borderId="34" xfId="0" applyNumberFormat="1" applyFont="1" applyFill="1" applyBorder="1"/>
    <xf numFmtId="2" fontId="0" fillId="0" borderId="34" xfId="0" applyNumberFormat="1" applyFill="1" applyBorder="1"/>
    <xf numFmtId="167" fontId="2" fillId="5" borderId="34" xfId="0" applyNumberFormat="1" applyFont="1" applyFill="1" applyBorder="1"/>
    <xf numFmtId="166" fontId="2" fillId="0" borderId="0" xfId="0" applyNumberFormat="1" applyFont="1" applyFill="1"/>
    <xf numFmtId="0" fontId="2" fillId="8" borderId="17" xfId="0" applyFont="1" applyFill="1" applyBorder="1"/>
    <xf numFmtId="0" fontId="0" fillId="8" borderId="17" xfId="0" applyFill="1" applyBorder="1"/>
    <xf numFmtId="0" fontId="0" fillId="8" borderId="6" xfId="0" applyFill="1" applyBorder="1"/>
    <xf numFmtId="0" fontId="0" fillId="8" borderId="0" xfId="0" applyFill="1" applyBorder="1"/>
    <xf numFmtId="0" fontId="2" fillId="8" borderId="1" xfId="0" applyFont="1" applyFill="1" applyBorder="1"/>
    <xf numFmtId="0" fontId="0" fillId="8" borderId="1" xfId="0" applyFill="1" applyBorder="1"/>
    <xf numFmtId="0" fontId="0" fillId="0" borderId="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38" xfId="0" applyFill="1" applyBorder="1" applyAlignment="1">
      <alignment horizontal="center"/>
    </xf>
    <xf numFmtId="0" fontId="0" fillId="0" borderId="1" xfId="0" applyFill="1" applyBorder="1"/>
    <xf numFmtId="0" fontId="2" fillId="0" borderId="17" xfId="0" applyFont="1" applyFill="1" applyBorder="1"/>
    <xf numFmtId="0" fontId="2" fillId="0" borderId="1" xfId="0" applyFont="1" applyFill="1" applyBorder="1"/>
    <xf numFmtId="0" fontId="0" fillId="8" borderId="2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38" xfId="0" applyFill="1" applyBorder="1" applyAlignment="1">
      <alignment horizontal="center"/>
    </xf>
    <xf numFmtId="0" fontId="2" fillId="9" borderId="1" xfId="0" applyFont="1" applyFill="1" applyBorder="1" applyAlignment="1">
      <alignment wrapText="1"/>
    </xf>
    <xf numFmtId="0" fontId="2" fillId="9" borderId="27" xfId="0" applyFont="1" applyFill="1" applyBorder="1" applyAlignment="1">
      <alignment wrapText="1"/>
    </xf>
    <xf numFmtId="0" fontId="0" fillId="5" borderId="2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38" xfId="0" applyFill="1" applyBorder="1" applyAlignment="1">
      <alignment horizontal="center"/>
    </xf>
    <xf numFmtId="0" fontId="0" fillId="5" borderId="1" xfId="0" applyFill="1" applyBorder="1"/>
    <xf numFmtId="0" fontId="5" fillId="0" borderId="1" xfId="0" applyFont="1" applyBorder="1" applyAlignment="1">
      <alignment horizontal="left" vertical="top" wrapText="1"/>
    </xf>
    <xf numFmtId="166" fontId="0" fillId="0" borderId="1" xfId="0" applyNumberFormat="1" applyFill="1" applyBorder="1"/>
    <xf numFmtId="0" fontId="5" fillId="5" borderId="1" xfId="0" applyFont="1" applyFill="1" applyBorder="1" applyAlignment="1">
      <alignment wrapText="1"/>
    </xf>
    <xf numFmtId="0" fontId="0" fillId="0" borderId="3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0" xfId="0" applyBorder="1" applyAlignment="1">
      <alignment horizontal="center" vertical="top"/>
    </xf>
    <xf numFmtId="0" fontId="0" fillId="0" borderId="31" xfId="0" applyBorder="1" applyAlignment="1">
      <alignment horizontal="center" vertical="top"/>
    </xf>
    <xf numFmtId="0" fontId="0" fillId="0" borderId="52" xfId="0" applyBorder="1" applyAlignment="1">
      <alignment horizontal="center" vertical="top"/>
    </xf>
    <xf numFmtId="0" fontId="0" fillId="0" borderId="30" xfId="0" applyBorder="1" applyAlignment="1">
      <alignment horizontal="center" vertical="top" wrapText="1"/>
    </xf>
    <xf numFmtId="0" fontId="0" fillId="0" borderId="31" xfId="0" applyBorder="1" applyAlignment="1">
      <alignment horizontal="center" vertical="top" wrapText="1"/>
    </xf>
    <xf numFmtId="0" fontId="0" fillId="0" borderId="52" xfId="0" applyBorder="1" applyAlignment="1">
      <alignment horizontal="center" vertical="top" wrapText="1"/>
    </xf>
    <xf numFmtId="0" fontId="0" fillId="0" borderId="17" xfId="0" applyBorder="1" applyAlignment="1"/>
    <xf numFmtId="0" fontId="0" fillId="0" borderId="49" xfId="0" applyBorder="1" applyAlignment="1"/>
    <xf numFmtId="0" fontId="0" fillId="0" borderId="50" xfId="0" applyBorder="1" applyAlignment="1"/>
    <xf numFmtId="0" fontId="0" fillId="0" borderId="6" xfId="0" applyBorder="1" applyAlignment="1"/>
    <xf numFmtId="0" fontId="0" fillId="0" borderId="2" xfId="0" applyBorder="1" applyAlignment="1"/>
    <xf numFmtId="0" fontId="0" fillId="0" borderId="7" xfId="0" applyBorder="1" applyAlignment="1"/>
    <xf numFmtId="0" fontId="0" fillId="7" borderId="6" xfId="0" applyFill="1" applyBorder="1" applyAlignment="1"/>
    <xf numFmtId="0" fontId="0" fillId="7" borderId="2" xfId="0" applyFill="1" applyBorder="1" applyAlignment="1"/>
    <xf numFmtId="0" fontId="0" fillId="7" borderId="7" xfId="0" applyFill="1" applyBorder="1" applyAlignment="1"/>
    <xf numFmtId="0" fontId="0" fillId="0" borderId="1" xfId="0" applyBorder="1" applyAlignment="1"/>
    <xf numFmtId="0" fontId="0" fillId="0" borderId="5" xfId="0" applyBorder="1" applyAlignment="1"/>
    <xf numFmtId="0" fontId="0" fillId="7" borderId="1" xfId="0" applyFill="1" applyBorder="1" applyAlignment="1"/>
  </cellXfs>
  <cellStyles count="2">
    <cellStyle name="Обычный" xfId="0" builtinId="0"/>
    <cellStyle name="Финансовый" xfId="1" builtinId="3"/>
  </cellStyles>
  <dxfs count="60"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14"/>
  <sheetViews>
    <sheetView topLeftCell="A12" workbookViewId="0">
      <pane xSplit="4" ySplit="15" topLeftCell="E27" activePane="bottomRight" state="frozen"/>
      <selection activeCell="A12" sqref="A12"/>
      <selection pane="topRight" activeCell="E12" sqref="E12"/>
      <selection pane="bottomLeft" activeCell="A27" sqref="A27"/>
      <selection pane="bottomRight" activeCell="A12" sqref="A1:XFD1048576"/>
    </sheetView>
  </sheetViews>
  <sheetFormatPr defaultRowHeight="15"/>
  <cols>
    <col min="1" max="1" width="20.5703125" style="109" customWidth="1"/>
    <col min="2" max="2" width="0.5703125" style="109" customWidth="1"/>
    <col min="3" max="3" width="11.28515625" style="109" hidden="1" customWidth="1"/>
    <col min="4" max="4" width="13.5703125" style="109" customWidth="1"/>
    <col min="5" max="5" width="13.855468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1" width="13.5703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0" width="10" style="109" bestFit="1" customWidth="1"/>
    <col min="21" max="21" width="9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4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  <c r="N14" s="109" t="s">
        <v>85</v>
      </c>
    </row>
    <row r="15" spans="7:17" ht="18" customHeight="1">
      <c r="G15" s="20" t="s">
        <v>84</v>
      </c>
      <c r="H15" s="20"/>
      <c r="I15" s="20"/>
      <c r="J15" s="20"/>
      <c r="P15" s="109" t="s">
        <v>83</v>
      </c>
      <c r="Q15" s="104"/>
    </row>
    <row r="16" spans="7:17" ht="12.75" customHeight="1" thickBot="1">
      <c r="Q16" s="104"/>
    </row>
    <row r="17" spans="1:17" ht="22.5" customHeight="1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17">
      <c r="A18" s="246"/>
      <c r="B18" s="28"/>
      <c r="C18" s="28"/>
      <c r="D18" s="249"/>
      <c r="E18" s="102" t="s">
        <v>15</v>
      </c>
      <c r="F18" s="2" t="s">
        <v>21</v>
      </c>
      <c r="G18" s="186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" t="s">
        <v>30</v>
      </c>
      <c r="N18" s="2" t="s">
        <v>32</v>
      </c>
      <c r="O18" s="2" t="s">
        <v>16</v>
      </c>
      <c r="P18" s="17" t="s">
        <v>34</v>
      </c>
    </row>
    <row r="19" spans="1:17">
      <c r="A19" s="246"/>
      <c r="B19" s="28"/>
      <c r="C19" s="28"/>
      <c r="D19" s="249"/>
      <c r="E19" s="102" t="s">
        <v>16</v>
      </c>
      <c r="F19" s="2" t="s">
        <v>22</v>
      </c>
      <c r="G19" s="186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" t="s">
        <v>22</v>
      </c>
      <c r="N19" s="2" t="s">
        <v>33</v>
      </c>
      <c r="O19" s="2" t="s">
        <v>32</v>
      </c>
      <c r="P19" s="17" t="s">
        <v>22</v>
      </c>
    </row>
    <row r="20" spans="1:17">
      <c r="A20" s="246"/>
      <c r="B20" s="28"/>
      <c r="C20" s="28"/>
      <c r="D20" s="249"/>
      <c r="E20" s="102" t="s">
        <v>17</v>
      </c>
      <c r="F20" s="2" t="s">
        <v>17</v>
      </c>
      <c r="G20" s="186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" t="s">
        <v>16</v>
      </c>
      <c r="N20" s="2" t="s">
        <v>25</v>
      </c>
      <c r="O20" s="2" t="s">
        <v>15</v>
      </c>
      <c r="P20" s="17" t="s">
        <v>33</v>
      </c>
    </row>
    <row r="21" spans="1:17">
      <c r="A21" s="246"/>
      <c r="B21" s="28"/>
      <c r="C21" s="28"/>
      <c r="D21" s="249"/>
      <c r="E21" s="102" t="s">
        <v>18</v>
      </c>
      <c r="F21" s="2" t="s">
        <v>19</v>
      </c>
      <c r="G21" s="186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" t="s">
        <v>25</v>
      </c>
      <c r="N21" s="2" t="s">
        <v>15</v>
      </c>
      <c r="O21" s="2" t="s">
        <v>31</v>
      </c>
      <c r="P21" s="17" t="s">
        <v>18</v>
      </c>
    </row>
    <row r="22" spans="1:17">
      <c r="A22" s="246"/>
      <c r="B22" s="28"/>
      <c r="C22" s="28"/>
      <c r="D22" s="249"/>
      <c r="E22" s="102" t="s">
        <v>19</v>
      </c>
      <c r="F22" s="2" t="s">
        <v>18</v>
      </c>
      <c r="G22" s="186"/>
      <c r="H22" s="2" t="s">
        <v>23</v>
      </c>
      <c r="I22" s="2"/>
      <c r="J22" s="2"/>
      <c r="K22" s="2"/>
      <c r="L22" s="2" t="s">
        <v>30</v>
      </c>
      <c r="M22" s="2" t="s">
        <v>15</v>
      </c>
      <c r="N22" s="2" t="s">
        <v>31</v>
      </c>
      <c r="O22" s="2" t="s">
        <v>19</v>
      </c>
      <c r="P22" s="17" t="s">
        <v>31</v>
      </c>
    </row>
    <row r="23" spans="1:17">
      <c r="A23" s="246"/>
      <c r="B23" s="28"/>
      <c r="C23" s="28"/>
      <c r="D23" s="249"/>
      <c r="E23" s="102" t="s">
        <v>20</v>
      </c>
      <c r="F23" s="2" t="s">
        <v>23</v>
      </c>
      <c r="G23" s="186"/>
      <c r="H23" s="2" t="s">
        <v>20</v>
      </c>
      <c r="I23" s="2"/>
      <c r="J23" s="2"/>
      <c r="K23" s="2"/>
      <c r="L23" s="2" t="s">
        <v>25</v>
      </c>
      <c r="M23" s="2" t="s">
        <v>31</v>
      </c>
      <c r="N23" s="2" t="s">
        <v>19</v>
      </c>
      <c r="O23" s="2" t="s">
        <v>20</v>
      </c>
      <c r="P23" s="17" t="s">
        <v>19</v>
      </c>
    </row>
    <row r="24" spans="1:17">
      <c r="A24" s="246"/>
      <c r="B24" s="28"/>
      <c r="C24" s="28"/>
      <c r="D24" s="249"/>
      <c r="E24" s="102"/>
      <c r="F24" s="2" t="s">
        <v>20</v>
      </c>
      <c r="G24" s="186"/>
      <c r="H24" s="2"/>
      <c r="I24" s="2"/>
      <c r="J24" s="2"/>
      <c r="K24" s="2"/>
      <c r="L24" s="2"/>
      <c r="M24" s="2" t="s">
        <v>19</v>
      </c>
      <c r="N24" s="2" t="s">
        <v>20</v>
      </c>
      <c r="O24" s="2"/>
      <c r="P24" s="17" t="s">
        <v>20</v>
      </c>
    </row>
    <row r="25" spans="1:17" ht="15.75" thickBot="1">
      <c r="A25" s="247"/>
      <c r="B25" s="29"/>
      <c r="C25" s="29"/>
      <c r="D25" s="250"/>
      <c r="E25" s="42"/>
      <c r="F25" s="18"/>
      <c r="G25" s="187"/>
      <c r="H25" s="18"/>
      <c r="I25" s="18"/>
      <c r="J25" s="18"/>
      <c r="K25" s="18"/>
      <c r="L25" s="18"/>
      <c r="M25" s="18" t="s">
        <v>20</v>
      </c>
      <c r="N25" s="18"/>
      <c r="O25" s="18"/>
      <c r="P25" s="19"/>
    </row>
    <row r="26" spans="1:17" ht="15.75" thickBot="1">
      <c r="A26" s="50">
        <v>1</v>
      </c>
      <c r="B26" s="50"/>
      <c r="C26" s="50"/>
      <c r="D26" s="51">
        <v>2</v>
      </c>
      <c r="E26" s="52">
        <v>3</v>
      </c>
      <c r="F26" s="53">
        <v>4</v>
      </c>
      <c r="G26" s="188">
        <v>5</v>
      </c>
      <c r="H26" s="53">
        <v>6</v>
      </c>
      <c r="I26" s="53">
        <v>7</v>
      </c>
      <c r="J26" s="53">
        <v>8</v>
      </c>
      <c r="K26" s="53">
        <v>9</v>
      </c>
      <c r="L26" s="52">
        <v>10</v>
      </c>
      <c r="M26" s="53">
        <v>11</v>
      </c>
      <c r="N26" s="53">
        <v>12</v>
      </c>
      <c r="O26" s="53">
        <v>13</v>
      </c>
      <c r="P26" s="54">
        <v>14</v>
      </c>
    </row>
    <row r="27" spans="1:17" ht="15.75" thickBot="1">
      <c r="A27" s="30" t="s">
        <v>37</v>
      </c>
      <c r="B27" s="30"/>
      <c r="C27" s="30"/>
      <c r="D27" s="44"/>
      <c r="E27" s="43"/>
      <c r="F27" s="12"/>
      <c r="G27" s="189"/>
      <c r="H27" s="12"/>
      <c r="I27" s="12"/>
      <c r="J27" s="12"/>
      <c r="K27" s="12"/>
      <c r="L27" s="12"/>
      <c r="M27" s="12"/>
      <c r="N27" s="12"/>
      <c r="O27" s="12"/>
      <c r="P27" s="13"/>
    </row>
    <row r="28" spans="1:17" ht="15.75" hidden="1" thickBot="1">
      <c r="A28" s="31" t="s">
        <v>38</v>
      </c>
      <c r="B28" s="31"/>
      <c r="C28" s="31"/>
      <c r="D28" s="45"/>
      <c r="E28" s="136"/>
      <c r="F28" s="135"/>
      <c r="G28" s="190"/>
      <c r="H28" s="135"/>
      <c r="I28" s="135"/>
      <c r="J28" s="135"/>
      <c r="K28" s="135"/>
      <c r="L28" s="135"/>
      <c r="M28" s="135"/>
      <c r="N28" s="135"/>
      <c r="O28" s="135"/>
      <c r="P28" s="14"/>
    </row>
    <row r="29" spans="1:17" ht="15.75" hidden="1" thickBot="1">
      <c r="A29" s="31" t="s">
        <v>39</v>
      </c>
      <c r="B29" s="31"/>
      <c r="C29" s="31"/>
      <c r="D29" s="45"/>
      <c r="E29" s="136"/>
      <c r="F29" s="135"/>
      <c r="G29" s="190"/>
      <c r="H29" s="135"/>
      <c r="I29" s="135"/>
      <c r="J29" s="135"/>
      <c r="K29" s="135"/>
      <c r="L29" s="135"/>
      <c r="M29" s="135"/>
      <c r="N29" s="135"/>
      <c r="O29" s="135"/>
      <c r="P29" s="14"/>
    </row>
    <row r="30" spans="1:17" ht="20.25" hidden="1" customHeight="1">
      <c r="A30" s="55" t="s">
        <v>40</v>
      </c>
      <c r="B30" s="55"/>
      <c r="C30" s="55"/>
      <c r="D30" s="142">
        <f>SUM(E30:P30)</f>
        <v>7241954.5000000009</v>
      </c>
      <c r="E30" s="143">
        <f t="shared" ref="E30:P30" si="0">E32+E33</f>
        <v>486344.4</v>
      </c>
      <c r="F30" s="144">
        <f t="shared" si="0"/>
        <v>524563.4</v>
      </c>
      <c r="G30" s="191">
        <f t="shared" si="0"/>
        <v>555023.4</v>
      </c>
      <c r="H30" s="144">
        <f t="shared" si="0"/>
        <v>735042.4</v>
      </c>
      <c r="I30" s="144">
        <f>I32+I33</f>
        <v>556553.4</v>
      </c>
      <c r="J30" s="144">
        <f t="shared" si="0"/>
        <v>553160.4</v>
      </c>
      <c r="K30" s="144">
        <f t="shared" si="0"/>
        <v>717956.4</v>
      </c>
      <c r="L30" s="144">
        <f t="shared" si="0"/>
        <v>569906.4</v>
      </c>
      <c r="M30" s="144">
        <f t="shared" si="0"/>
        <v>580405.4</v>
      </c>
      <c r="N30" s="144">
        <f t="shared" si="0"/>
        <v>718075.4</v>
      </c>
      <c r="O30" s="144">
        <f t="shared" si="0"/>
        <v>558520.4</v>
      </c>
      <c r="P30" s="145">
        <f t="shared" si="0"/>
        <v>686403.1</v>
      </c>
    </row>
    <row r="31" spans="1:17" ht="18" hidden="1" customHeight="1">
      <c r="A31" s="32" t="s">
        <v>41</v>
      </c>
      <c r="B31" s="32"/>
      <c r="C31" s="32"/>
      <c r="D31" s="139"/>
      <c r="E31" s="140"/>
      <c r="F31" s="137"/>
      <c r="G31" s="192"/>
      <c r="H31" s="137"/>
      <c r="I31" s="137"/>
      <c r="J31" s="137"/>
      <c r="K31" s="137"/>
      <c r="L31" s="137"/>
      <c r="M31" s="137"/>
      <c r="N31" s="137"/>
      <c r="O31" s="137"/>
      <c r="P31" s="141"/>
    </row>
    <row r="32" spans="1:17" ht="45.75" hidden="1" thickBot="1">
      <c r="A32" s="133" t="s">
        <v>75</v>
      </c>
      <c r="B32" s="148"/>
      <c r="C32" s="133"/>
      <c r="D32" s="134">
        <f>SUM(E32:P32)</f>
        <v>4042492</v>
      </c>
      <c r="E32" s="132">
        <v>214615</v>
      </c>
      <c r="F32" s="132">
        <v>252834</v>
      </c>
      <c r="G32" s="193">
        <v>283294</v>
      </c>
      <c r="H32" s="132">
        <f>432343+37780</f>
        <v>470123</v>
      </c>
      <c r="I32" s="132">
        <f>289734+1900</f>
        <v>291634</v>
      </c>
      <c r="J32" s="132">
        <f>286341+1900</f>
        <v>288241</v>
      </c>
      <c r="K32" s="132">
        <f>446917+6120</f>
        <v>453037</v>
      </c>
      <c r="L32" s="132">
        <f>303087+1900</f>
        <v>304987</v>
      </c>
      <c r="M32" s="132">
        <f>313586+1900</f>
        <v>315486</v>
      </c>
      <c r="N32" s="132">
        <f>451256+1900</f>
        <v>453156</v>
      </c>
      <c r="O32" s="132">
        <f>291701+1900</f>
        <v>293601</v>
      </c>
      <c r="P32" s="138">
        <f>419584+1900</f>
        <v>421484</v>
      </c>
    </row>
    <row r="33" spans="1:16" ht="33.75" hidden="1" customHeight="1">
      <c r="A33" s="146" t="s">
        <v>42</v>
      </c>
      <c r="B33" s="147"/>
      <c r="C33" s="34"/>
      <c r="D33" s="47">
        <f>SUM(E33:P33)</f>
        <v>3199462.4999999995</v>
      </c>
      <c r="E33" s="16">
        <v>271729.40000000002</v>
      </c>
      <c r="F33" s="16">
        <v>271729.40000000002</v>
      </c>
      <c r="G33" s="194">
        <v>271729.40000000002</v>
      </c>
      <c r="H33" s="16">
        <v>264919.40000000002</v>
      </c>
      <c r="I33" s="16">
        <v>264919.40000000002</v>
      </c>
      <c r="J33" s="16">
        <v>264919.40000000002</v>
      </c>
      <c r="K33" s="16">
        <v>264919.40000000002</v>
      </c>
      <c r="L33" s="16">
        <v>264919.40000000002</v>
      </c>
      <c r="M33" s="16">
        <v>264919.40000000002</v>
      </c>
      <c r="N33" s="16">
        <v>264919.40000000002</v>
      </c>
      <c r="O33" s="16">
        <v>264919.40000000002</v>
      </c>
      <c r="P33" s="16">
        <v>264919.09999999998</v>
      </c>
    </row>
    <row r="34" spans="1:16" ht="21" hidden="1" customHeight="1">
      <c r="A34" s="9" t="s">
        <v>43</v>
      </c>
      <c r="B34" s="105"/>
      <c r="C34" s="105"/>
      <c r="D34" s="46"/>
      <c r="E34" s="106"/>
      <c r="F34" s="7"/>
      <c r="G34" s="195"/>
      <c r="H34" s="7"/>
      <c r="I34" s="7"/>
      <c r="J34" s="7"/>
      <c r="K34" s="7"/>
      <c r="L34" s="7"/>
      <c r="M34" s="7"/>
      <c r="N34" s="7"/>
      <c r="O34" s="7"/>
      <c r="P34" s="7"/>
    </row>
    <row r="35" spans="1:16" ht="21" hidden="1" customHeight="1">
      <c r="A35" s="3" t="s">
        <v>44</v>
      </c>
      <c r="B35" s="4"/>
      <c r="C35" s="4"/>
      <c r="D35" s="48"/>
      <c r="E35" s="5"/>
      <c r="F35" s="1"/>
      <c r="G35" s="196"/>
      <c r="H35" s="1"/>
      <c r="I35" s="1"/>
      <c r="J35" s="1"/>
      <c r="K35" s="1"/>
      <c r="L35" s="1"/>
      <c r="M35" s="1"/>
      <c r="N35" s="1"/>
      <c r="O35" s="1"/>
      <c r="P35" s="1"/>
    </row>
    <row r="36" spans="1:16" ht="15.75" hidden="1" thickBot="1">
      <c r="A36" s="8" t="s">
        <v>45</v>
      </c>
      <c r="B36" s="103"/>
      <c r="C36" s="103"/>
      <c r="D36" s="49"/>
      <c r="E36" s="251"/>
      <c r="F36" s="254"/>
      <c r="G36" s="257"/>
      <c r="H36" s="254"/>
      <c r="I36" s="254"/>
      <c r="J36" s="254"/>
      <c r="K36" s="254"/>
      <c r="L36" s="254"/>
      <c r="M36" s="254"/>
      <c r="N36" s="254"/>
      <c r="O36" s="254"/>
      <c r="P36" s="254"/>
    </row>
    <row r="37" spans="1:16" ht="15.75" hidden="1" thickBot="1">
      <c r="A37" s="107" t="s">
        <v>46</v>
      </c>
      <c r="B37" s="104"/>
      <c r="C37" s="104"/>
      <c r="D37" s="45"/>
      <c r="E37" s="252"/>
      <c r="F37" s="255"/>
      <c r="G37" s="258"/>
      <c r="H37" s="255"/>
      <c r="I37" s="255"/>
      <c r="J37" s="255"/>
      <c r="K37" s="255"/>
      <c r="L37" s="255"/>
      <c r="M37" s="255"/>
      <c r="N37" s="255"/>
      <c r="O37" s="255"/>
      <c r="P37" s="255"/>
    </row>
    <row r="38" spans="1:16" ht="15.75" hidden="1" thickBot="1">
      <c r="A38" s="9" t="s">
        <v>2</v>
      </c>
      <c r="B38" s="105"/>
      <c r="C38" s="105"/>
      <c r="D38" s="46"/>
      <c r="E38" s="253"/>
      <c r="F38" s="256"/>
      <c r="G38" s="259"/>
      <c r="H38" s="256"/>
      <c r="I38" s="256"/>
      <c r="J38" s="256"/>
      <c r="K38" s="256"/>
      <c r="L38" s="256"/>
      <c r="M38" s="256"/>
      <c r="N38" s="256"/>
      <c r="O38" s="256"/>
      <c r="P38" s="256"/>
    </row>
    <row r="39" spans="1:16" ht="17.25" hidden="1" customHeight="1">
      <c r="A39" s="3" t="s">
        <v>41</v>
      </c>
      <c r="B39" s="4"/>
      <c r="C39" s="4"/>
      <c r="D39" s="48"/>
      <c r="E39" s="5"/>
      <c r="F39" s="1"/>
      <c r="G39" s="196"/>
      <c r="H39" s="1"/>
      <c r="I39" s="1"/>
      <c r="J39" s="1"/>
      <c r="K39" s="1"/>
      <c r="L39" s="1"/>
      <c r="M39" s="1"/>
      <c r="N39" s="1"/>
      <c r="O39" s="1"/>
      <c r="P39" s="1"/>
    </row>
    <row r="40" spans="1:16" ht="15.75" hidden="1" thickBot="1">
      <c r="A40" s="8" t="s">
        <v>47</v>
      </c>
      <c r="B40" s="103"/>
      <c r="C40" s="103"/>
      <c r="D40" s="49"/>
      <c r="E40" s="261"/>
      <c r="F40" s="260"/>
      <c r="G40" s="262"/>
      <c r="H40" s="260"/>
      <c r="I40" s="260"/>
      <c r="J40" s="260"/>
      <c r="K40" s="260"/>
      <c r="L40" s="260"/>
      <c r="M40" s="260"/>
      <c r="N40" s="260"/>
      <c r="O40" s="260"/>
      <c r="P40" s="260"/>
    </row>
    <row r="41" spans="1:16" ht="20.25" hidden="1" customHeight="1">
      <c r="A41" s="107" t="s">
        <v>48</v>
      </c>
      <c r="B41" s="104"/>
      <c r="C41" s="104"/>
      <c r="D41" s="45"/>
      <c r="E41" s="251"/>
      <c r="F41" s="254"/>
      <c r="G41" s="257"/>
      <c r="H41" s="254"/>
      <c r="I41" s="254"/>
      <c r="J41" s="254"/>
      <c r="K41" s="254"/>
      <c r="L41" s="254"/>
      <c r="M41" s="254"/>
      <c r="N41" s="254"/>
      <c r="O41" s="254"/>
      <c r="P41" s="254"/>
    </row>
    <row r="42" spans="1:16" ht="23.25" customHeight="1" thickBot="1">
      <c r="A42" s="35" t="s">
        <v>49</v>
      </c>
      <c r="B42" s="35"/>
      <c r="C42" s="35"/>
      <c r="D42" s="76">
        <f>D51+D52+D56+D57+D58+D59+D60+D61+D66+D71+D76+D85+D86+D91+D96+D105</f>
        <v>3580686.7300000004</v>
      </c>
      <c r="E42" s="76">
        <f t="shared" ref="E42:P42" si="1">E51+E52+E56+E57+E58+E59+E60+E61+E66+E71+E76+E85+E86+E91+E96+E105</f>
        <v>252770.40000000002</v>
      </c>
      <c r="F42" s="76">
        <f t="shared" si="1"/>
        <v>484678.40000000002</v>
      </c>
      <c r="G42" s="177">
        <f t="shared" si="1"/>
        <v>225174.7</v>
      </c>
      <c r="H42" s="76">
        <f t="shared" si="1"/>
        <v>189930.8</v>
      </c>
      <c r="I42" s="76">
        <f t="shared" si="1"/>
        <v>234507</v>
      </c>
      <c r="J42" s="76">
        <f t="shared" si="1"/>
        <v>298003</v>
      </c>
      <c r="K42" s="76">
        <f t="shared" si="1"/>
        <v>297424.59999999998</v>
      </c>
      <c r="L42" s="76">
        <f t="shared" si="1"/>
        <v>296901</v>
      </c>
      <c r="M42" s="76">
        <f t="shared" si="1"/>
        <v>315281.7</v>
      </c>
      <c r="N42" s="76">
        <f t="shared" si="1"/>
        <v>312320.59999999998</v>
      </c>
      <c r="O42" s="76">
        <f t="shared" si="1"/>
        <v>315394.8</v>
      </c>
      <c r="P42" s="76">
        <f t="shared" si="1"/>
        <v>358299.72999999986</v>
      </c>
    </row>
    <row r="43" spans="1:16" ht="15.75">
      <c r="A43" s="32" t="s">
        <v>74</v>
      </c>
      <c r="B43" s="69"/>
      <c r="C43" s="69"/>
      <c r="D43" s="70">
        <f>SUM(E42:P42)</f>
        <v>3580686.73</v>
      </c>
      <c r="E43" s="71"/>
      <c r="F43" s="72"/>
      <c r="G43" s="197"/>
      <c r="H43" s="72"/>
      <c r="I43" s="72"/>
      <c r="J43" s="72"/>
      <c r="K43" s="72"/>
      <c r="L43" s="72"/>
      <c r="M43" s="72"/>
      <c r="N43" s="72"/>
      <c r="O43" s="72"/>
      <c r="P43" s="73"/>
    </row>
    <row r="44" spans="1:16" ht="13.5" customHeight="1">
      <c r="A44" s="88"/>
      <c r="B44" s="89"/>
      <c r="C44" s="90">
        <f>D42-D44</f>
        <v>-19792.799999999814</v>
      </c>
      <c r="D44" s="97">
        <f>D45+D49</f>
        <v>3600479.5300000003</v>
      </c>
      <c r="E44" s="91"/>
      <c r="F44" s="92"/>
      <c r="G44" s="195"/>
      <c r="H44" s="92"/>
      <c r="I44" s="92"/>
      <c r="J44" s="92"/>
      <c r="K44" s="92"/>
      <c r="L44" s="92"/>
      <c r="M44" s="92"/>
      <c r="N44" s="92"/>
      <c r="O44" s="92"/>
      <c r="P44" s="93"/>
    </row>
    <row r="45" spans="1:16" ht="18.75" customHeight="1">
      <c r="A45" s="94" t="s">
        <v>58</v>
      </c>
      <c r="B45" s="94"/>
      <c r="C45" s="94"/>
      <c r="D45" s="95">
        <f>SUM(E45:P45)</f>
        <v>3255564.6300000004</v>
      </c>
      <c r="E45" s="87">
        <f>E51+E53+E54+E56+E57+E58+E59+E60+E62+E63+E67+E68+E72+E73+E77+E78+E85+E87+E88+E92+E93+E97+E98+E81</f>
        <v>164763.79999999999</v>
      </c>
      <c r="F45" s="87">
        <f t="shared" ref="F45:P45" si="2">F51+F53+F54+F56+F57+F58+F59+F60+F62+F63+F67+F68+F72+F73+F77+F78+F85+F87+F88+F92+F93+F97+F98+F81</f>
        <v>233999.1</v>
      </c>
      <c r="G45" s="198">
        <f t="shared" si="2"/>
        <v>228389.7</v>
      </c>
      <c r="H45" s="87">
        <f t="shared" si="2"/>
        <v>191143.2</v>
      </c>
      <c r="I45" s="87">
        <f t="shared" si="2"/>
        <v>235566.5</v>
      </c>
      <c r="J45" s="87">
        <f t="shared" si="2"/>
        <v>299062.5</v>
      </c>
      <c r="K45" s="87">
        <f t="shared" si="2"/>
        <v>298484.09999999998</v>
      </c>
      <c r="L45" s="87">
        <f t="shared" si="2"/>
        <v>297960.5</v>
      </c>
      <c r="M45" s="87">
        <f t="shared" si="2"/>
        <v>316341.2</v>
      </c>
      <c r="N45" s="87">
        <f t="shared" si="2"/>
        <v>313354.30000000005</v>
      </c>
      <c r="O45" s="87">
        <f t="shared" si="2"/>
        <v>316428.5</v>
      </c>
      <c r="P45" s="87">
        <f t="shared" si="2"/>
        <v>360071.23</v>
      </c>
    </row>
    <row r="46" spans="1:16" ht="12" customHeight="1">
      <c r="A46" s="36"/>
      <c r="B46" s="36"/>
      <c r="C46" s="75">
        <f>D45-D46</f>
        <v>208755.33000000007</v>
      </c>
      <c r="D46" s="77">
        <f>D51+D53+D54+D56+D57+D58+D59+D60+D62+D63+D67+D68+D72+D73+D77+D78+D85+D87+D88+D92+D93+D97</f>
        <v>3046809.3000000003</v>
      </c>
      <c r="E46" s="78"/>
      <c r="F46" s="78"/>
      <c r="G46" s="199"/>
      <c r="H46" s="78"/>
      <c r="I46" s="78"/>
      <c r="J46" s="78"/>
      <c r="K46" s="78"/>
      <c r="L46" s="78"/>
      <c r="M46" s="78"/>
      <c r="N46" s="78"/>
      <c r="O46" s="78"/>
      <c r="P46" s="78"/>
    </row>
    <row r="47" spans="1:16" ht="32.25" customHeight="1">
      <c r="A47" s="36"/>
      <c r="B47" s="36"/>
      <c r="C47" s="86" t="s">
        <v>78</v>
      </c>
      <c r="D47" s="85">
        <f>D32-D45</f>
        <v>786927.36999999965</v>
      </c>
      <c r="E47" s="85">
        <f t="shared" ref="E47:P47" si="3">E32-E45</f>
        <v>49851.200000000012</v>
      </c>
      <c r="F47" s="85">
        <f t="shared" si="3"/>
        <v>18834.899999999994</v>
      </c>
      <c r="G47" s="200">
        <f t="shared" si="3"/>
        <v>54904.299999999988</v>
      </c>
      <c r="H47" s="85">
        <f t="shared" si="3"/>
        <v>278979.8</v>
      </c>
      <c r="I47" s="85">
        <f t="shared" si="3"/>
        <v>56067.5</v>
      </c>
      <c r="J47" s="96">
        <f t="shared" si="3"/>
        <v>-10821.5</v>
      </c>
      <c r="K47" s="85">
        <f t="shared" si="3"/>
        <v>154552.90000000002</v>
      </c>
      <c r="L47" s="85">
        <f>L32-L45</f>
        <v>7026.5</v>
      </c>
      <c r="M47" s="85">
        <f t="shared" si="3"/>
        <v>-855.20000000001164</v>
      </c>
      <c r="N47" s="85">
        <f t="shared" si="3"/>
        <v>139801.69999999995</v>
      </c>
      <c r="O47" s="85">
        <f t="shared" si="3"/>
        <v>-22827.5</v>
      </c>
      <c r="P47" s="85">
        <f t="shared" si="3"/>
        <v>61412.770000000019</v>
      </c>
    </row>
    <row r="48" spans="1:16" ht="20.25" customHeight="1">
      <c r="A48" s="36"/>
      <c r="B48" s="36"/>
      <c r="C48" s="75" t="s">
        <v>77</v>
      </c>
      <c r="D48" s="85">
        <f>ROUND((D47/D32)*100,1)</f>
        <v>19.5</v>
      </c>
      <c r="E48" s="85">
        <f t="shared" ref="E48:P48" si="4">ROUND((E47/E32)*100,1)</f>
        <v>23.2</v>
      </c>
      <c r="F48" s="85">
        <f t="shared" si="4"/>
        <v>7.4</v>
      </c>
      <c r="G48" s="200">
        <f t="shared" si="4"/>
        <v>19.399999999999999</v>
      </c>
      <c r="H48" s="85">
        <f t="shared" si="4"/>
        <v>59.3</v>
      </c>
      <c r="I48" s="85">
        <f t="shared" si="4"/>
        <v>19.2</v>
      </c>
      <c r="J48" s="85">
        <f t="shared" si="4"/>
        <v>-3.8</v>
      </c>
      <c r="K48" s="85">
        <f t="shared" si="4"/>
        <v>34.1</v>
      </c>
      <c r="L48" s="85">
        <f t="shared" si="4"/>
        <v>2.2999999999999998</v>
      </c>
      <c r="M48" s="85">
        <f t="shared" si="4"/>
        <v>-0.3</v>
      </c>
      <c r="N48" s="85">
        <f t="shared" si="4"/>
        <v>30.9</v>
      </c>
      <c r="O48" s="85">
        <f t="shared" si="4"/>
        <v>-7.8</v>
      </c>
      <c r="P48" s="85">
        <f t="shared" si="4"/>
        <v>14.6</v>
      </c>
    </row>
    <row r="49" spans="1:21" ht="18.75" customHeight="1">
      <c r="A49" s="36" t="s">
        <v>71</v>
      </c>
      <c r="B49" s="36"/>
      <c r="C49" s="36"/>
      <c r="D49" s="76">
        <f>SUM(E49:P49)</f>
        <v>344914.9</v>
      </c>
      <c r="E49" s="21">
        <f t="shared" ref="E49:P49" si="5">E55+E64+E69+E74+E79+E89+E94+E99</f>
        <v>88535.6</v>
      </c>
      <c r="F49" s="21">
        <f t="shared" si="5"/>
        <v>253129.30000000002</v>
      </c>
      <c r="G49" s="201">
        <f t="shared" si="5"/>
        <v>325</v>
      </c>
      <c r="H49" s="21">
        <f t="shared" si="5"/>
        <v>325</v>
      </c>
      <c r="I49" s="21">
        <f t="shared" si="5"/>
        <v>325</v>
      </c>
      <c r="J49" s="21">
        <f t="shared" si="5"/>
        <v>325</v>
      </c>
      <c r="K49" s="21">
        <f t="shared" si="5"/>
        <v>325</v>
      </c>
      <c r="L49" s="21">
        <f t="shared" si="5"/>
        <v>325</v>
      </c>
      <c r="M49" s="21">
        <f t="shared" si="5"/>
        <v>325</v>
      </c>
      <c r="N49" s="21">
        <f t="shared" si="5"/>
        <v>325</v>
      </c>
      <c r="O49" s="21">
        <f t="shared" si="5"/>
        <v>325</v>
      </c>
      <c r="P49" s="21">
        <f t="shared" si="5"/>
        <v>325</v>
      </c>
    </row>
    <row r="50" spans="1:21" ht="3.75" customHeight="1">
      <c r="A50" s="36"/>
      <c r="B50" s="36"/>
      <c r="C50" s="75">
        <f>D49-D50</f>
        <v>-1256879.1000000001</v>
      </c>
      <c r="D50" s="21">
        <f>D55+D64+D69+D74+D79+D89+D94+D99</f>
        <v>1601794</v>
      </c>
      <c r="E50" s="66"/>
      <c r="F50" s="66"/>
      <c r="G50" s="202"/>
      <c r="H50" s="66"/>
      <c r="I50" s="66"/>
      <c r="J50" s="66"/>
      <c r="K50" s="66"/>
      <c r="L50" s="66"/>
      <c r="M50" s="66"/>
      <c r="N50" s="66"/>
      <c r="O50" s="66"/>
      <c r="P50" s="74"/>
    </row>
    <row r="51" spans="1:21" s="11" customFormat="1" ht="18.75" customHeight="1">
      <c r="A51" s="37" t="s">
        <v>54</v>
      </c>
      <c r="B51" s="37"/>
      <c r="C51" s="37"/>
      <c r="D51" s="177">
        <f>E51+F51+G51+H51+I51+J51+K51+L51+M51+N51+O51+P51</f>
        <v>56880.7</v>
      </c>
      <c r="E51" s="168">
        <f>1671-1280</f>
        <v>391</v>
      </c>
      <c r="F51" s="10">
        <v>3345</v>
      </c>
      <c r="G51" s="203">
        <f>3700+1280</f>
        <v>4980</v>
      </c>
      <c r="H51" s="10">
        <v>4700</v>
      </c>
      <c r="I51" s="10">
        <v>4700</v>
      </c>
      <c r="J51" s="10">
        <v>4700</v>
      </c>
      <c r="K51" s="10">
        <v>4700</v>
      </c>
      <c r="L51" s="10">
        <v>4700</v>
      </c>
      <c r="M51" s="10">
        <v>4700</v>
      </c>
      <c r="N51" s="10">
        <v>4700</v>
      </c>
      <c r="O51" s="10">
        <v>7700</v>
      </c>
      <c r="P51" s="10">
        <f>4700+28.6+1947-1650+2539.1</f>
        <v>7564.7000000000007</v>
      </c>
      <c r="Q51" s="22">
        <v>52378</v>
      </c>
      <c r="R51" s="80">
        <v>52378.6</v>
      </c>
      <c r="T51" s="171">
        <v>56880.7</v>
      </c>
      <c r="U51" s="167">
        <f>T51-D51</f>
        <v>0</v>
      </c>
    </row>
    <row r="52" spans="1:21" s="11" customFormat="1" ht="18.75" customHeight="1">
      <c r="A52" s="37" t="s">
        <v>55</v>
      </c>
      <c r="B52" s="37"/>
      <c r="C52" s="37"/>
      <c r="D52" s="211">
        <f>SUM(D53:D55)</f>
        <v>734804.29999999993</v>
      </c>
      <c r="E52" s="10">
        <f>SUM(E53:E55)</f>
        <v>34367</v>
      </c>
      <c r="F52" s="10">
        <f>SUM(F53:F55)</f>
        <v>64153.2</v>
      </c>
      <c r="G52" s="203">
        <f t="shared" ref="G52:P52" si="6">SUM(G53:G55)</f>
        <v>65874</v>
      </c>
      <c r="H52" s="10">
        <f t="shared" si="6"/>
        <v>63615</v>
      </c>
      <c r="I52" s="10">
        <f t="shared" si="6"/>
        <v>63615</v>
      </c>
      <c r="J52" s="10">
        <f t="shared" si="6"/>
        <v>63615</v>
      </c>
      <c r="K52" s="10">
        <f t="shared" si="6"/>
        <v>63615</v>
      </c>
      <c r="L52" s="10">
        <f t="shared" si="6"/>
        <v>63615</v>
      </c>
      <c r="M52" s="10">
        <f t="shared" si="6"/>
        <v>63615</v>
      </c>
      <c r="N52" s="10">
        <f t="shared" si="6"/>
        <v>63615</v>
      </c>
      <c r="O52" s="10">
        <f t="shared" si="6"/>
        <v>63615</v>
      </c>
      <c r="P52" s="10">
        <f t="shared" si="6"/>
        <v>61490.1</v>
      </c>
      <c r="Q52" s="23">
        <v>818404.8</v>
      </c>
      <c r="R52" s="80">
        <f>841564.5</f>
        <v>841564.5</v>
      </c>
      <c r="T52" s="171">
        <v>734804.3</v>
      </c>
      <c r="U52" s="154">
        <f>771652.1-54124.2</f>
        <v>717527.9</v>
      </c>
    </row>
    <row r="53" spans="1:21" ht="18.75" customHeight="1">
      <c r="A53" s="36" t="s">
        <v>58</v>
      </c>
      <c r="B53" s="36"/>
      <c r="C53" s="36"/>
      <c r="D53" s="176">
        <f>E53+F53+G53+H53+I53+J53+K53+L53+M53+N53+O53+P53</f>
        <v>451415.1</v>
      </c>
      <c r="E53" s="110">
        <f>12312-1845</f>
        <v>10467</v>
      </c>
      <c r="F53" s="111">
        <f>32000+8014</f>
        <v>40014</v>
      </c>
      <c r="G53" s="204">
        <f>32000+8014+1445+1845-1445</f>
        <v>41859</v>
      </c>
      <c r="H53" s="111">
        <f>37000+2600</f>
        <v>39600</v>
      </c>
      <c r="I53" s="111">
        <f t="shared" ref="I53:O53" si="7">37000+2600</f>
        <v>39600</v>
      </c>
      <c r="J53" s="111">
        <f t="shared" si="7"/>
        <v>39600</v>
      </c>
      <c r="K53" s="111">
        <f t="shared" si="7"/>
        <v>39600</v>
      </c>
      <c r="L53" s="111">
        <f t="shared" si="7"/>
        <v>39600</v>
      </c>
      <c r="M53" s="111">
        <f t="shared" si="7"/>
        <v>39600</v>
      </c>
      <c r="N53" s="111">
        <f t="shared" si="7"/>
        <v>39600</v>
      </c>
      <c r="O53" s="111">
        <f t="shared" si="7"/>
        <v>39600</v>
      </c>
      <c r="P53" s="111">
        <f>58303.1-8014-8014</f>
        <v>42275.1</v>
      </c>
      <c r="Q53" s="125">
        <v>505132.79999999999</v>
      </c>
      <c r="R53" s="127">
        <f>R52-D54-D55</f>
        <v>558175.30000000005</v>
      </c>
      <c r="S53" s="99">
        <f>559564.5-30120</f>
        <v>529444.5</v>
      </c>
      <c r="T53" s="182">
        <f>T52-D54-D55</f>
        <v>451415.10000000003</v>
      </c>
      <c r="U53" s="175">
        <f>T53-D53</f>
        <v>0</v>
      </c>
    </row>
    <row r="54" spans="1:21" ht="18.75" customHeight="1">
      <c r="A54" s="36" t="s">
        <v>59</v>
      </c>
      <c r="B54" s="36"/>
      <c r="C54" s="36"/>
      <c r="D54" s="172">
        <f>E54+F54+G54+H54+I54+J54+K54+L54+M54+N54+O54+P54</f>
        <v>282000</v>
      </c>
      <c r="E54" s="169">
        <v>23900</v>
      </c>
      <c r="F54" s="169">
        <v>23900</v>
      </c>
      <c r="G54" s="205">
        <v>23900</v>
      </c>
      <c r="H54" s="169">
        <v>23900</v>
      </c>
      <c r="I54" s="169">
        <v>23900</v>
      </c>
      <c r="J54" s="169">
        <v>23900</v>
      </c>
      <c r="K54" s="169">
        <v>23900</v>
      </c>
      <c r="L54" s="169">
        <v>23900</v>
      </c>
      <c r="M54" s="169">
        <v>23900</v>
      </c>
      <c r="N54" s="169">
        <v>23900</v>
      </c>
      <c r="O54" s="169">
        <v>23900</v>
      </c>
      <c r="P54" s="169">
        <f>23500-4000-400</f>
        <v>19100</v>
      </c>
      <c r="Q54" s="125">
        <v>282000</v>
      </c>
      <c r="R54" s="113">
        <v>282000</v>
      </c>
      <c r="S54" s="58"/>
      <c r="T54" s="58">
        <v>282000</v>
      </c>
      <c r="U54" s="155"/>
    </row>
    <row r="55" spans="1:21" ht="18.75" customHeight="1">
      <c r="A55" s="36" t="s">
        <v>60</v>
      </c>
      <c r="B55" s="36"/>
      <c r="C55" s="36"/>
      <c r="D55" s="174">
        <f>E55+F55+G55+H55+I55+J55+K55+L55+M55+N55+O55+P55</f>
        <v>1389.2</v>
      </c>
      <c r="E55" s="110"/>
      <c r="F55" s="111">
        <v>239.2</v>
      </c>
      <c r="G55" s="204">
        <v>115</v>
      </c>
      <c r="H55" s="111">
        <v>115</v>
      </c>
      <c r="I55" s="111">
        <v>115</v>
      </c>
      <c r="J55" s="111">
        <v>115</v>
      </c>
      <c r="K55" s="111">
        <v>115</v>
      </c>
      <c r="L55" s="111">
        <v>115</v>
      </c>
      <c r="M55" s="111">
        <v>115</v>
      </c>
      <c r="N55" s="111">
        <v>115</v>
      </c>
      <c r="O55" s="111">
        <v>115</v>
      </c>
      <c r="P55" s="111">
        <v>115</v>
      </c>
      <c r="Q55" s="125">
        <v>1271.2</v>
      </c>
      <c r="R55" s="117">
        <v>1271.2</v>
      </c>
      <c r="S55" s="58"/>
      <c r="T55" s="173">
        <v>1389.2</v>
      </c>
      <c r="U55" s="155"/>
    </row>
    <row r="56" spans="1:21" s="11" customFormat="1" ht="29.25" customHeight="1">
      <c r="A56" s="61" t="s">
        <v>56</v>
      </c>
      <c r="B56" s="61"/>
      <c r="C56" s="61"/>
      <c r="D56" s="156">
        <f t="shared" ref="D56:D61" si="8">SUM(E56:P56)</f>
        <v>8919.9</v>
      </c>
      <c r="E56" s="168">
        <f>127-59</f>
        <v>68</v>
      </c>
      <c r="F56" s="62">
        <v>508</v>
      </c>
      <c r="G56" s="206">
        <f>508+59+240</f>
        <v>807</v>
      </c>
      <c r="H56" s="119">
        <v>750</v>
      </c>
      <c r="I56" s="119">
        <v>750</v>
      </c>
      <c r="J56" s="119">
        <v>750</v>
      </c>
      <c r="K56" s="119">
        <f>100+750</f>
        <v>850</v>
      </c>
      <c r="L56" s="119">
        <f>300+750</f>
        <v>1050</v>
      </c>
      <c r="M56" s="119">
        <f>500+750-240</f>
        <v>1010</v>
      </c>
      <c r="N56" s="119">
        <f>100+750</f>
        <v>850</v>
      </c>
      <c r="O56" s="119">
        <v>750</v>
      </c>
      <c r="P56" s="119">
        <v>776.9</v>
      </c>
      <c r="Q56" s="120">
        <v>8330.2000000000007</v>
      </c>
      <c r="R56" s="121">
        <v>24350.2</v>
      </c>
      <c r="T56" s="171">
        <v>8919.9</v>
      </c>
      <c r="U56" s="178">
        <f>T56-D56</f>
        <v>0</v>
      </c>
    </row>
    <row r="57" spans="1:21" s="11" customFormat="1" ht="29.25" customHeight="1">
      <c r="A57" s="61" t="s">
        <v>57</v>
      </c>
      <c r="B57" s="61"/>
      <c r="C57" s="61"/>
      <c r="D57" s="156">
        <f t="shared" si="8"/>
        <v>15869.3</v>
      </c>
      <c r="E57" s="168">
        <f>445-175+18</f>
        <v>288</v>
      </c>
      <c r="F57" s="62">
        <v>850</v>
      </c>
      <c r="G57" s="206">
        <f>1100+175-18+41</f>
        <v>1298</v>
      </c>
      <c r="H57" s="62">
        <v>1100</v>
      </c>
      <c r="I57" s="62">
        <v>1200</v>
      </c>
      <c r="J57" s="119">
        <v>1200</v>
      </c>
      <c r="K57" s="119">
        <v>1300</v>
      </c>
      <c r="L57" s="119">
        <v>1500</v>
      </c>
      <c r="M57" s="119">
        <v>1500</v>
      </c>
      <c r="N57" s="119">
        <v>1500</v>
      </c>
      <c r="O57" s="119">
        <f>1300+652-41</f>
        <v>1911</v>
      </c>
      <c r="P57" s="119">
        <f>1200+376.3-121.5-115.9+1132.5-250+0.9</f>
        <v>2222.2999999999997</v>
      </c>
      <c r="Q57" s="120">
        <v>14457.8</v>
      </c>
      <c r="R57" s="121">
        <v>14723.2</v>
      </c>
      <c r="T57" s="171">
        <v>15869.3</v>
      </c>
      <c r="U57" s="178">
        <f>T57-D57</f>
        <v>0</v>
      </c>
    </row>
    <row r="58" spans="1:21" s="11" customFormat="1" ht="29.25" customHeight="1">
      <c r="A58" s="61" t="s">
        <v>80</v>
      </c>
      <c r="B58" s="61"/>
      <c r="C58" s="61"/>
      <c r="D58" s="156">
        <f t="shared" si="8"/>
        <v>108983.7</v>
      </c>
      <c r="E58" s="168">
        <f>2992-38</f>
        <v>2954</v>
      </c>
      <c r="F58" s="119">
        <v>4500</v>
      </c>
      <c r="G58" s="206">
        <f>6500+38+2762</f>
        <v>9300</v>
      </c>
      <c r="H58" s="119">
        <f>8500+2300</f>
        <v>10800</v>
      </c>
      <c r="I58" s="119">
        <f>10000-508.3</f>
        <v>9491.7000000000007</v>
      </c>
      <c r="J58" s="119">
        <f>11000-460</f>
        <v>10540</v>
      </c>
      <c r="K58" s="119">
        <f>11000-460</f>
        <v>10540</v>
      </c>
      <c r="L58" s="119">
        <f>11000-460</f>
        <v>10540</v>
      </c>
      <c r="M58" s="119">
        <f>11000-460</f>
        <v>10540</v>
      </c>
      <c r="N58" s="119">
        <f>11000-460-1000</f>
        <v>9540</v>
      </c>
      <c r="O58" s="119">
        <f>11000-460-1300</f>
        <v>9240</v>
      </c>
      <c r="P58" s="119">
        <f>11000-2</f>
        <v>10998</v>
      </c>
      <c r="Q58" s="120">
        <v>135575.9</v>
      </c>
      <c r="R58" s="121">
        <v>104533.2</v>
      </c>
      <c r="T58" s="171">
        <v>108983.7</v>
      </c>
      <c r="U58" s="178">
        <f>T58-D58</f>
        <v>0</v>
      </c>
    </row>
    <row r="59" spans="1:21" s="11" customFormat="1" ht="29.25" hidden="1" customHeight="1">
      <c r="A59" s="61"/>
      <c r="B59" s="61"/>
      <c r="C59" s="61"/>
      <c r="D59" s="156"/>
      <c r="E59" s="62"/>
      <c r="F59" s="62"/>
      <c r="G59" s="206"/>
      <c r="H59" s="62"/>
      <c r="I59" s="62"/>
      <c r="J59" s="62"/>
      <c r="K59" s="62"/>
      <c r="L59" s="62"/>
      <c r="M59" s="62"/>
      <c r="N59" s="62"/>
      <c r="O59" s="62"/>
      <c r="P59" s="62"/>
      <c r="Q59" s="23"/>
      <c r="S59" s="79"/>
      <c r="T59" s="165"/>
      <c r="U59" s="154"/>
    </row>
    <row r="60" spans="1:21" s="11" customFormat="1" ht="29.25" customHeight="1">
      <c r="A60" s="61" t="s">
        <v>61</v>
      </c>
      <c r="B60" s="61"/>
      <c r="C60" s="61"/>
      <c r="D60" s="156">
        <f t="shared" si="8"/>
        <v>139595.1</v>
      </c>
      <c r="E60" s="168">
        <f>1220+3200-498</f>
        <v>3922</v>
      </c>
      <c r="F60" s="62">
        <v>7500</v>
      </c>
      <c r="G60" s="206">
        <f>8000+498+4630</f>
        <v>13128</v>
      </c>
      <c r="H60" s="119">
        <f>8000+2551+715</f>
        <v>11266</v>
      </c>
      <c r="I60" s="119">
        <f>8000+2040.8</f>
        <v>10040.799999999999</v>
      </c>
      <c r="J60" s="119">
        <v>8000</v>
      </c>
      <c r="K60" s="119">
        <v>8000</v>
      </c>
      <c r="L60" s="119">
        <v>8000</v>
      </c>
      <c r="M60" s="119">
        <v>8000</v>
      </c>
      <c r="N60" s="119">
        <v>6500</v>
      </c>
      <c r="O60" s="119">
        <v>6500</v>
      </c>
      <c r="P60" s="119">
        <f>58000-7221-2040.7</f>
        <v>48738.3</v>
      </c>
      <c r="Q60" s="23">
        <v>134467.1</v>
      </c>
      <c r="R60" s="11">
        <v>137671.5</v>
      </c>
      <c r="S60" s="11">
        <f>137671.5-50900</f>
        <v>86771.5</v>
      </c>
      <c r="T60" s="171">
        <v>139595.1</v>
      </c>
      <c r="U60" s="178">
        <f>T60-D60</f>
        <v>0</v>
      </c>
    </row>
    <row r="61" spans="1:21" s="11" customFormat="1" ht="29.25" customHeight="1">
      <c r="A61" s="61" t="s">
        <v>62</v>
      </c>
      <c r="B61" s="61"/>
      <c r="C61" s="61"/>
      <c r="D61" s="156">
        <f t="shared" si="8"/>
        <v>32353.3</v>
      </c>
      <c r="E61" s="62">
        <f t="shared" ref="E61:P61" si="9">SUM(E62:E65)</f>
        <v>434</v>
      </c>
      <c r="F61" s="62">
        <f t="shared" si="9"/>
        <v>1536.6</v>
      </c>
      <c r="G61" s="206">
        <f t="shared" si="9"/>
        <v>2681.5</v>
      </c>
      <c r="H61" s="62">
        <f t="shared" si="9"/>
        <v>3440.4</v>
      </c>
      <c r="I61" s="62">
        <f t="shared" si="9"/>
        <v>3013.7000000000003</v>
      </c>
      <c r="J61" s="62">
        <f t="shared" si="9"/>
        <v>3013.7000000000003</v>
      </c>
      <c r="K61" s="62">
        <f t="shared" si="9"/>
        <v>3013.7000000000003</v>
      </c>
      <c r="L61" s="62">
        <f t="shared" si="9"/>
        <v>3013.7000000000003</v>
      </c>
      <c r="M61" s="62">
        <f t="shared" si="9"/>
        <v>3123</v>
      </c>
      <c r="N61" s="62">
        <f t="shared" si="9"/>
        <v>3148.7999999999997</v>
      </c>
      <c r="O61" s="62">
        <f t="shared" si="9"/>
        <v>3259.8999999999996</v>
      </c>
      <c r="P61" s="62">
        <f t="shared" si="9"/>
        <v>2674.3</v>
      </c>
      <c r="Q61" s="23"/>
      <c r="S61" s="11">
        <v>31066.9</v>
      </c>
      <c r="T61" s="165">
        <v>33318</v>
      </c>
      <c r="U61" s="154"/>
    </row>
    <row r="62" spans="1:21" ht="17.25" customHeight="1">
      <c r="A62" s="39" t="s">
        <v>73</v>
      </c>
      <c r="B62" s="39"/>
      <c r="C62" s="39"/>
      <c r="D62" s="212">
        <f>E62+F62+G62+H62+I62+J62+K62+L62+M62+N62+O62+P62</f>
        <v>24103.699999999997</v>
      </c>
      <c r="E62" s="108">
        <f>563-129</f>
        <v>434</v>
      </c>
      <c r="F62" s="6">
        <v>1281.5999999999999</v>
      </c>
      <c r="G62" s="204">
        <f>2200+129</f>
        <v>2329</v>
      </c>
      <c r="H62" s="111">
        <v>2200</v>
      </c>
      <c r="I62" s="111">
        <v>2200</v>
      </c>
      <c r="J62" s="111">
        <v>2200</v>
      </c>
      <c r="K62" s="111">
        <v>2200</v>
      </c>
      <c r="L62" s="111">
        <v>2200</v>
      </c>
      <c r="M62" s="111">
        <v>2200</v>
      </c>
      <c r="N62" s="111">
        <v>2200</v>
      </c>
      <c r="O62" s="111">
        <f>2200+111.1</f>
        <v>2311.1</v>
      </c>
      <c r="P62" s="111">
        <f>2000+83+265</f>
        <v>2348</v>
      </c>
      <c r="Q62" s="125">
        <v>21519.9</v>
      </c>
      <c r="R62" s="126">
        <f>32263.1-635-5000</f>
        <v>26628.1</v>
      </c>
      <c r="S62" s="109">
        <f>22964.1-635</f>
        <v>22329.1</v>
      </c>
      <c r="T62" s="171">
        <f>T61-8584.3-T64</f>
        <v>24103.7</v>
      </c>
      <c r="U62" s="175">
        <f>T62-D62</f>
        <v>0</v>
      </c>
    </row>
    <row r="63" spans="1:21" ht="17.25" customHeight="1">
      <c r="A63" s="39"/>
      <c r="B63" s="60">
        <f>SUM(E63:P63)</f>
        <v>5850.9000000000005</v>
      </c>
      <c r="C63" s="60">
        <f>B63-D63</f>
        <v>-1050</v>
      </c>
      <c r="D63" s="68">
        <f>8669.6-D65</f>
        <v>6900.9000000000005</v>
      </c>
      <c r="E63" s="59"/>
      <c r="F63" s="130">
        <v>150</v>
      </c>
      <c r="G63" s="207">
        <v>300</v>
      </c>
      <c r="H63" s="59">
        <v>1000</v>
      </c>
      <c r="I63" s="59">
        <v>573.29999999999995</v>
      </c>
      <c r="J63" s="59">
        <v>573.29999999999995</v>
      </c>
      <c r="K63" s="59">
        <v>573.29999999999995</v>
      </c>
      <c r="L63" s="59">
        <v>573.29999999999995</v>
      </c>
      <c r="M63" s="59">
        <v>682.6</v>
      </c>
      <c r="N63" s="59">
        <v>682.6</v>
      </c>
      <c r="O63" s="59">
        <v>682.6</v>
      </c>
      <c r="P63" s="59">
        <v>59.9</v>
      </c>
      <c r="Q63" s="5"/>
      <c r="R63" s="81"/>
      <c r="T63" s="165"/>
      <c r="U63" s="155"/>
    </row>
    <row r="64" spans="1:21" ht="27" customHeight="1">
      <c r="A64" s="39" t="s">
        <v>71</v>
      </c>
      <c r="B64" s="39"/>
      <c r="C64" s="39"/>
      <c r="D64" s="68">
        <f>E64+F64+G64+H64+I64+J64+K64+L64+M64+N64+O64+P64</f>
        <v>630</v>
      </c>
      <c r="E64" s="110"/>
      <c r="F64" s="111">
        <v>105</v>
      </c>
      <c r="G64" s="204">
        <v>52.5</v>
      </c>
      <c r="H64" s="111">
        <v>52.5</v>
      </c>
      <c r="I64" s="111">
        <v>52.5</v>
      </c>
      <c r="J64" s="111">
        <v>52.5</v>
      </c>
      <c r="K64" s="111">
        <v>52.5</v>
      </c>
      <c r="L64" s="111">
        <v>52.5</v>
      </c>
      <c r="M64" s="111">
        <v>52.5</v>
      </c>
      <c r="N64" s="111">
        <v>52.5</v>
      </c>
      <c r="O64" s="111">
        <v>52.5</v>
      </c>
      <c r="P64" s="111">
        <v>52.5</v>
      </c>
      <c r="Q64" s="125">
        <v>635</v>
      </c>
      <c r="R64" s="113">
        <v>635</v>
      </c>
      <c r="S64" s="58"/>
      <c r="T64" s="173">
        <v>630</v>
      </c>
      <c r="U64" s="155"/>
    </row>
    <row r="65" spans="1:21" ht="21.75" customHeight="1">
      <c r="A65" s="39"/>
      <c r="B65" s="60">
        <f>SUM(E65:P65)</f>
        <v>1768.7000000000003</v>
      </c>
      <c r="C65" s="60">
        <f>B65-D65</f>
        <v>0</v>
      </c>
      <c r="D65" s="68">
        <v>1768.7</v>
      </c>
      <c r="E65" s="66"/>
      <c r="F65" s="66"/>
      <c r="G65" s="205"/>
      <c r="H65" s="108">
        <v>187.9</v>
      </c>
      <c r="I65" s="108">
        <v>187.9</v>
      </c>
      <c r="J65" s="108">
        <v>187.9</v>
      </c>
      <c r="K65" s="108">
        <v>187.9</v>
      </c>
      <c r="L65" s="108">
        <v>187.9</v>
      </c>
      <c r="M65" s="108">
        <v>187.9</v>
      </c>
      <c r="N65" s="108">
        <v>213.7</v>
      </c>
      <c r="O65" s="108">
        <v>213.7</v>
      </c>
      <c r="P65" s="108">
        <v>213.9</v>
      </c>
      <c r="Q65" s="5"/>
      <c r="T65" s="83"/>
      <c r="U65" s="155"/>
    </row>
    <row r="66" spans="1:21" s="11" customFormat="1" ht="29.25" customHeight="1">
      <c r="A66" s="61" t="s">
        <v>63</v>
      </c>
      <c r="B66" s="61"/>
      <c r="C66" s="61"/>
      <c r="D66" s="156">
        <f>SUM(E66:P66)</f>
        <v>33653.800000000003</v>
      </c>
      <c r="E66" s="62">
        <f t="shared" ref="E66:P66" si="10">SUM(E67:E70)</f>
        <v>696</v>
      </c>
      <c r="F66" s="62">
        <f t="shared" si="10"/>
        <v>1469.2</v>
      </c>
      <c r="G66" s="206">
        <f t="shared" si="10"/>
        <v>2805.7</v>
      </c>
      <c r="H66" s="62">
        <f t="shared" si="10"/>
        <v>3565.9</v>
      </c>
      <c r="I66" s="62">
        <f t="shared" si="10"/>
        <v>2821.6000000000004</v>
      </c>
      <c r="J66" s="62">
        <f t="shared" si="10"/>
        <v>3196.6000000000004</v>
      </c>
      <c r="K66" s="62">
        <f t="shared" si="10"/>
        <v>2996.2000000000003</v>
      </c>
      <c r="L66" s="62">
        <f t="shared" si="10"/>
        <v>2821.6000000000004</v>
      </c>
      <c r="M66" s="62">
        <f t="shared" si="10"/>
        <v>3207.5</v>
      </c>
      <c r="N66" s="62">
        <f t="shared" si="10"/>
        <v>3097.6000000000004</v>
      </c>
      <c r="O66" s="62">
        <f t="shared" si="10"/>
        <v>3097.6000000000004</v>
      </c>
      <c r="P66" s="62">
        <f t="shared" si="10"/>
        <v>3878.2999999999993</v>
      </c>
      <c r="Q66" s="23"/>
      <c r="R66" s="11">
        <v>33822.5</v>
      </c>
      <c r="S66" s="11">
        <v>31482.1</v>
      </c>
      <c r="T66" s="171">
        <v>34277.4</v>
      </c>
      <c r="U66" s="154"/>
    </row>
    <row r="67" spans="1:21" ht="15.75" customHeight="1">
      <c r="A67" s="39" t="s">
        <v>73</v>
      </c>
      <c r="B67" s="39"/>
      <c r="C67" s="39"/>
      <c r="D67" s="68">
        <f>E67+F67+G67+H67+I67+J67+K67+L67+M67+N67+O67+P67</f>
        <v>24475.8</v>
      </c>
      <c r="E67" s="108">
        <f>551-55</f>
        <v>496</v>
      </c>
      <c r="F67" s="6">
        <v>1312.2</v>
      </c>
      <c r="G67" s="204">
        <f>2424+55</f>
        <v>2479</v>
      </c>
      <c r="H67" s="6">
        <v>2049</v>
      </c>
      <c r="I67" s="6">
        <f>2424-375</f>
        <v>2049</v>
      </c>
      <c r="J67" s="6">
        <v>2424</v>
      </c>
      <c r="K67" s="6">
        <f>2424-375+174.6</f>
        <v>2223.6</v>
      </c>
      <c r="L67" s="6">
        <f>2424-375</f>
        <v>2049</v>
      </c>
      <c r="M67" s="6">
        <f>2424-375+260.9</f>
        <v>2309.9</v>
      </c>
      <c r="N67" s="6">
        <v>2200</v>
      </c>
      <c r="O67" s="6">
        <v>2200</v>
      </c>
      <c r="P67" s="112">
        <f>2425.2-377.9-260.9+200+486.2-633.7+845.2</f>
        <v>2684.0999999999995</v>
      </c>
      <c r="Q67" s="125">
        <v>22762</v>
      </c>
      <c r="R67" s="117">
        <f>33510.6-635-6050</f>
        <v>26825.599999999999</v>
      </c>
      <c r="S67" s="109">
        <f>24730.7-635</f>
        <v>24095.7</v>
      </c>
      <c r="T67" s="181">
        <f>T66-9171.6-D69</f>
        <v>24475.800000000003</v>
      </c>
      <c r="U67" s="180">
        <f>T67-D67</f>
        <v>0</v>
      </c>
    </row>
    <row r="68" spans="1:21" ht="15.75" customHeight="1">
      <c r="A68" s="39"/>
      <c r="B68" s="60">
        <f>SUM(E68:P68)</f>
        <v>6244.9000000000015</v>
      </c>
      <c r="C68" s="60">
        <f>B68-D68</f>
        <v>-613.79999999999745</v>
      </c>
      <c r="D68" s="68">
        <f>9161.8-D70</f>
        <v>6858.6999999999989</v>
      </c>
      <c r="E68" s="130">
        <v>200</v>
      </c>
      <c r="F68" s="130">
        <v>52</v>
      </c>
      <c r="G68" s="207">
        <v>274.2</v>
      </c>
      <c r="H68" s="59">
        <v>1300</v>
      </c>
      <c r="I68" s="59">
        <v>452.8</v>
      </c>
      <c r="J68" s="59">
        <v>452.8</v>
      </c>
      <c r="K68" s="59">
        <v>452.8</v>
      </c>
      <c r="L68" s="59">
        <v>452.8</v>
      </c>
      <c r="M68" s="59">
        <v>577.79999999999995</v>
      </c>
      <c r="N68" s="59">
        <v>577.79999999999995</v>
      </c>
      <c r="O68" s="59">
        <v>577.79999999999995</v>
      </c>
      <c r="P68" s="59">
        <v>874.1</v>
      </c>
      <c r="Q68" s="5"/>
      <c r="S68" s="82"/>
      <c r="T68" s="83"/>
      <c r="U68" s="155"/>
    </row>
    <row r="69" spans="1:21" ht="18.75" customHeight="1">
      <c r="A69" s="39" t="s">
        <v>71</v>
      </c>
      <c r="B69" s="39"/>
      <c r="C69" s="39"/>
      <c r="D69" s="174">
        <f>E69+F69+G69+H69+I69+J69+K69+L69+M69+N69+O69+P69</f>
        <v>630</v>
      </c>
      <c r="E69" s="110"/>
      <c r="F69" s="111">
        <v>105</v>
      </c>
      <c r="G69" s="204">
        <v>52.5</v>
      </c>
      <c r="H69" s="111">
        <v>52.5</v>
      </c>
      <c r="I69" s="111">
        <v>52.5</v>
      </c>
      <c r="J69" s="111">
        <v>52.5</v>
      </c>
      <c r="K69" s="111">
        <v>52.5</v>
      </c>
      <c r="L69" s="111">
        <v>52.5</v>
      </c>
      <c r="M69" s="111">
        <v>52.5</v>
      </c>
      <c r="N69" s="111">
        <v>52.5</v>
      </c>
      <c r="O69" s="111">
        <v>52.5</v>
      </c>
      <c r="P69" s="111">
        <v>52.5</v>
      </c>
      <c r="Q69" s="125">
        <v>635</v>
      </c>
      <c r="R69" s="113">
        <v>635</v>
      </c>
      <c r="S69" s="58"/>
      <c r="T69" s="173">
        <v>630</v>
      </c>
      <c r="U69" s="155"/>
    </row>
    <row r="70" spans="1:21" ht="18.75" customHeight="1">
      <c r="A70" s="39"/>
      <c r="B70" s="60">
        <f>SUM(E70:P70)</f>
        <v>2303.1</v>
      </c>
      <c r="C70" s="60">
        <f>B70-D70</f>
        <v>0</v>
      </c>
      <c r="D70" s="68">
        <v>2303.1</v>
      </c>
      <c r="E70" s="108"/>
      <c r="F70" s="6"/>
      <c r="G70" s="204"/>
      <c r="H70" s="6">
        <v>164.4</v>
      </c>
      <c r="I70" s="6">
        <v>267.3</v>
      </c>
      <c r="J70" s="6">
        <v>267.3</v>
      </c>
      <c r="K70" s="6">
        <v>267.3</v>
      </c>
      <c r="L70" s="6">
        <v>267.3</v>
      </c>
      <c r="M70" s="6">
        <v>267.3</v>
      </c>
      <c r="N70" s="6">
        <v>267.3</v>
      </c>
      <c r="O70" s="6">
        <v>267.3</v>
      </c>
      <c r="P70" s="6">
        <v>267.60000000000002</v>
      </c>
      <c r="Q70" s="5"/>
      <c r="T70" s="83"/>
      <c r="U70" s="155"/>
    </row>
    <row r="71" spans="1:21" s="11" customFormat="1" ht="29.25" customHeight="1">
      <c r="A71" s="61" t="s">
        <v>64</v>
      </c>
      <c r="B71" s="61"/>
      <c r="C71" s="61"/>
      <c r="D71" s="156">
        <f>SUM(E71:P71)</f>
        <v>30033.699999999997</v>
      </c>
      <c r="E71" s="62">
        <f>SUM(E72:E75)</f>
        <v>577</v>
      </c>
      <c r="F71" s="62">
        <f>SUM(F72:F75)</f>
        <v>1565</v>
      </c>
      <c r="G71" s="206">
        <f t="shared" ref="G71:P71" si="11">SUM(G72:G75)</f>
        <v>2491.5</v>
      </c>
      <c r="H71" s="62">
        <f t="shared" si="11"/>
        <v>2849.8</v>
      </c>
      <c r="I71" s="62">
        <f t="shared" si="11"/>
        <v>2882.8</v>
      </c>
      <c r="J71" s="62">
        <f t="shared" si="11"/>
        <v>2899.8</v>
      </c>
      <c r="K71" s="62">
        <f t="shared" si="11"/>
        <v>2899.8</v>
      </c>
      <c r="L71" s="62">
        <f t="shared" si="11"/>
        <v>2899.8</v>
      </c>
      <c r="M71" s="62">
        <f t="shared" si="11"/>
        <v>2899.8</v>
      </c>
      <c r="N71" s="62">
        <f t="shared" si="11"/>
        <v>2882.8</v>
      </c>
      <c r="O71" s="62">
        <f t="shared" si="11"/>
        <v>2897.8</v>
      </c>
      <c r="P71" s="62">
        <f t="shared" si="11"/>
        <v>2287.7999999999997</v>
      </c>
      <c r="Q71" s="23"/>
      <c r="R71" s="11">
        <v>37864.199999999997</v>
      </c>
      <c r="S71" s="11">
        <v>35470.800000000003</v>
      </c>
      <c r="T71" s="171">
        <v>34389.1</v>
      </c>
      <c r="U71" s="154"/>
    </row>
    <row r="72" spans="1:21" ht="25.5" customHeight="1">
      <c r="A72" s="39" t="s">
        <v>73</v>
      </c>
      <c r="B72" s="39"/>
      <c r="C72" s="39"/>
      <c r="D72" s="68">
        <f>E72+F72+G72+H72+I72+J72+K72+L72+M72+N72+O72+P72</f>
        <v>26020.7</v>
      </c>
      <c r="E72" s="110">
        <f>516-39</f>
        <v>477</v>
      </c>
      <c r="F72" s="111">
        <v>1200</v>
      </c>
      <c r="G72" s="204">
        <f>2300+39</f>
        <v>2339</v>
      </c>
      <c r="H72" s="111">
        <v>2517</v>
      </c>
      <c r="I72" s="111">
        <v>2500</v>
      </c>
      <c r="J72" s="111">
        <v>2517</v>
      </c>
      <c r="K72" s="111">
        <v>2517</v>
      </c>
      <c r="L72" s="111">
        <v>2517</v>
      </c>
      <c r="M72" s="111">
        <v>2517</v>
      </c>
      <c r="N72" s="111">
        <v>2500</v>
      </c>
      <c r="O72" s="111">
        <v>2515</v>
      </c>
      <c r="P72" s="124">
        <f>2537-346.8+122+1.6-207.4-437.2+231.3+4.2</f>
        <v>1904.6999999999996</v>
      </c>
      <c r="Q72" s="125">
        <v>21951.7</v>
      </c>
      <c r="R72" s="117">
        <f>34022.5-635-6024</f>
        <v>27363.5</v>
      </c>
      <c r="T72" s="181">
        <f>T71-D74-7738.3</f>
        <v>26020.799999999999</v>
      </c>
      <c r="U72" s="180">
        <f>T72-D72</f>
        <v>9.9999999998544808E-2</v>
      </c>
    </row>
    <row r="73" spans="1:21" ht="25.5" customHeight="1">
      <c r="A73" s="39"/>
      <c r="B73" s="60">
        <f>SUM(E73:P73)</f>
        <v>460</v>
      </c>
      <c r="C73" s="60">
        <f>B73-D73</f>
        <v>-8873</v>
      </c>
      <c r="D73" s="68">
        <f>12256-D75</f>
        <v>9333</v>
      </c>
      <c r="E73" s="128">
        <v>100</v>
      </c>
      <c r="F73" s="129">
        <v>260</v>
      </c>
      <c r="G73" s="208">
        <v>100</v>
      </c>
      <c r="H73" s="67"/>
      <c r="I73" s="67"/>
      <c r="J73" s="67"/>
      <c r="K73" s="67"/>
      <c r="L73" s="67"/>
      <c r="M73" s="67"/>
      <c r="N73" s="67"/>
      <c r="O73" s="67"/>
      <c r="P73" s="67"/>
      <c r="Q73" s="5"/>
      <c r="T73" s="83"/>
      <c r="U73" s="155"/>
    </row>
    <row r="74" spans="1:21" ht="21" customHeight="1">
      <c r="A74" s="39" t="s">
        <v>71</v>
      </c>
      <c r="B74" s="39"/>
      <c r="C74" s="39"/>
      <c r="D74" s="68">
        <f>E74+F74+G74+H74+I74+J74+K74+L74+M74+N74+O74+P74</f>
        <v>630</v>
      </c>
      <c r="E74" s="110"/>
      <c r="F74" s="111">
        <v>105</v>
      </c>
      <c r="G74" s="204">
        <v>52.5</v>
      </c>
      <c r="H74" s="111">
        <v>52.5</v>
      </c>
      <c r="I74" s="111">
        <v>52.5</v>
      </c>
      <c r="J74" s="111">
        <v>52.5</v>
      </c>
      <c r="K74" s="111">
        <v>52.5</v>
      </c>
      <c r="L74" s="111">
        <v>52.5</v>
      </c>
      <c r="M74" s="111">
        <v>52.5</v>
      </c>
      <c r="N74" s="111">
        <v>52.5</v>
      </c>
      <c r="O74" s="111">
        <v>52.5</v>
      </c>
      <c r="P74" s="111">
        <v>52.5</v>
      </c>
      <c r="Q74" s="5">
        <v>635</v>
      </c>
      <c r="R74" s="113">
        <v>635</v>
      </c>
      <c r="S74" s="58"/>
      <c r="T74" s="173">
        <v>630</v>
      </c>
      <c r="U74" s="155"/>
    </row>
    <row r="75" spans="1:21" ht="21" customHeight="1">
      <c r="A75" s="39"/>
      <c r="B75" s="60">
        <f>SUM(E75:P75)</f>
        <v>2923</v>
      </c>
      <c r="C75" s="60">
        <f>B75-D75</f>
        <v>0</v>
      </c>
      <c r="D75" s="68">
        <v>2923</v>
      </c>
      <c r="E75" s="108"/>
      <c r="F75" s="6"/>
      <c r="G75" s="204"/>
      <c r="H75" s="6">
        <v>280.3</v>
      </c>
      <c r="I75" s="6">
        <v>330.3</v>
      </c>
      <c r="J75" s="6">
        <v>330.3</v>
      </c>
      <c r="K75" s="6">
        <v>330.3</v>
      </c>
      <c r="L75" s="6">
        <v>330.3</v>
      </c>
      <c r="M75" s="6">
        <v>330.3</v>
      </c>
      <c r="N75" s="6">
        <v>330.3</v>
      </c>
      <c r="O75" s="6">
        <v>330.3</v>
      </c>
      <c r="P75" s="6">
        <v>330.6</v>
      </c>
      <c r="Q75" s="5"/>
      <c r="T75" s="83"/>
      <c r="U75" s="155"/>
    </row>
    <row r="76" spans="1:21" s="11" customFormat="1" ht="29.25" customHeight="1">
      <c r="A76" s="61" t="s">
        <v>65</v>
      </c>
      <c r="B76" s="61"/>
      <c r="C76" s="61"/>
      <c r="D76" s="156">
        <f>SUM(E76:P76)</f>
        <v>25091.7</v>
      </c>
      <c r="E76" s="62">
        <f>SUM(E77:E80)</f>
        <v>917</v>
      </c>
      <c r="F76" s="62">
        <f>SUM(F77:F80)</f>
        <v>1340.4</v>
      </c>
      <c r="G76" s="206">
        <f t="shared" ref="G76:P76" si="12">SUM(G77:G80)</f>
        <v>3741.5</v>
      </c>
      <c r="H76" s="62">
        <f t="shared" si="12"/>
        <v>2052.5</v>
      </c>
      <c r="I76" s="62">
        <f t="shared" si="12"/>
        <v>2052.5</v>
      </c>
      <c r="J76" s="62">
        <f t="shared" si="12"/>
        <v>2052.5</v>
      </c>
      <c r="K76" s="62">
        <f t="shared" si="12"/>
        <v>2252.5</v>
      </c>
      <c r="L76" s="62">
        <f t="shared" si="12"/>
        <v>2252.5</v>
      </c>
      <c r="M76" s="62">
        <f t="shared" si="12"/>
        <v>2252.5</v>
      </c>
      <c r="N76" s="62">
        <f t="shared" si="12"/>
        <v>2052.5</v>
      </c>
      <c r="O76" s="62">
        <f t="shared" si="12"/>
        <v>2052.5</v>
      </c>
      <c r="P76" s="62">
        <f t="shared" si="12"/>
        <v>2072.8000000000002</v>
      </c>
      <c r="Q76" s="23"/>
      <c r="T76" s="171">
        <v>31167.4</v>
      </c>
      <c r="U76" s="154"/>
    </row>
    <row r="77" spans="1:21" ht="22.5" customHeight="1">
      <c r="A77" s="39" t="s">
        <v>73</v>
      </c>
      <c r="B77" s="39"/>
      <c r="C77" s="101"/>
      <c r="D77" s="68">
        <f>E77+F77+G77+H77+I77+J77+K77+L77+M77+N77+O77+P77</f>
        <v>22314.7</v>
      </c>
      <c r="E77" s="110">
        <f>459-42</f>
        <v>417</v>
      </c>
      <c r="F77" s="111">
        <v>1235.4000000000001</v>
      </c>
      <c r="G77" s="204">
        <f>2000+42</f>
        <v>2042</v>
      </c>
      <c r="H77" s="111">
        <v>2000</v>
      </c>
      <c r="I77" s="111">
        <v>2000</v>
      </c>
      <c r="J77" s="111">
        <v>2000</v>
      </c>
      <c r="K77" s="111">
        <v>2200</v>
      </c>
      <c r="L77" s="111">
        <v>2200</v>
      </c>
      <c r="M77" s="111">
        <v>2200</v>
      </c>
      <c r="N77" s="111">
        <v>2000</v>
      </c>
      <c r="O77" s="111">
        <v>2000</v>
      </c>
      <c r="P77" s="111">
        <f>2200-179.7</f>
        <v>2020.3</v>
      </c>
      <c r="Q77" s="125">
        <v>20266.400000000001</v>
      </c>
      <c r="R77" s="117">
        <f>30996.3-635-5500</f>
        <v>24861.3</v>
      </c>
      <c r="T77" s="182">
        <f>T76-D79-8222.7</f>
        <v>22314.7</v>
      </c>
      <c r="U77" s="180">
        <f>T77-D77</f>
        <v>0</v>
      </c>
    </row>
    <row r="78" spans="1:21" ht="22.5" customHeight="1">
      <c r="A78" s="39"/>
      <c r="B78" s="60">
        <f>SUM(E78:P78)</f>
        <v>2147</v>
      </c>
      <c r="C78" s="60">
        <f>B78-D78</f>
        <v>2147</v>
      </c>
      <c r="D78" s="68"/>
      <c r="E78" s="128">
        <v>500</v>
      </c>
      <c r="F78" s="67"/>
      <c r="G78" s="208">
        <v>1647</v>
      </c>
      <c r="H78" s="67"/>
      <c r="I78" s="67"/>
      <c r="J78" s="67"/>
      <c r="K78" s="67"/>
      <c r="L78" s="67"/>
      <c r="M78" s="67"/>
      <c r="N78" s="67"/>
      <c r="O78" s="67"/>
      <c r="P78" s="67"/>
      <c r="Q78" s="5"/>
      <c r="T78" s="83"/>
      <c r="U78" s="155"/>
    </row>
    <row r="79" spans="1:21" ht="21.75" customHeight="1">
      <c r="A79" s="39" t="s">
        <v>71</v>
      </c>
      <c r="B79" s="39"/>
      <c r="C79" s="39"/>
      <c r="D79" s="68">
        <f>E79+F79+G79+H79+I79+J79+K79+L79+M79+N79+O79+P79</f>
        <v>630</v>
      </c>
      <c r="E79" s="110"/>
      <c r="F79" s="111">
        <v>105</v>
      </c>
      <c r="G79" s="204">
        <v>52.5</v>
      </c>
      <c r="H79" s="111">
        <v>52.5</v>
      </c>
      <c r="I79" s="111">
        <v>52.5</v>
      </c>
      <c r="J79" s="111">
        <v>52.5</v>
      </c>
      <c r="K79" s="111">
        <v>52.5</v>
      </c>
      <c r="L79" s="111">
        <v>52.5</v>
      </c>
      <c r="M79" s="111">
        <v>52.5</v>
      </c>
      <c r="N79" s="111">
        <v>52.5</v>
      </c>
      <c r="O79" s="111">
        <v>52.5</v>
      </c>
      <c r="P79" s="111">
        <v>52.5</v>
      </c>
      <c r="Q79" s="5">
        <v>635</v>
      </c>
      <c r="R79" s="113">
        <v>635</v>
      </c>
      <c r="S79" s="58">
        <v>635</v>
      </c>
      <c r="T79" s="173">
        <v>630</v>
      </c>
      <c r="U79" s="155"/>
    </row>
    <row r="80" spans="1:21" ht="21.75" customHeight="1">
      <c r="A80" s="39"/>
      <c r="B80" s="60">
        <f>SUM(E80:P80)</f>
        <v>0</v>
      </c>
      <c r="C80" s="60">
        <f>B80-D80</f>
        <v>0</v>
      </c>
      <c r="D80" s="68"/>
      <c r="E80" s="108"/>
      <c r="F80" s="108"/>
      <c r="G80" s="205"/>
      <c r="H80" s="108"/>
      <c r="I80" s="108"/>
      <c r="J80" s="108"/>
      <c r="K80" s="108"/>
      <c r="L80" s="108"/>
      <c r="M80" s="108"/>
      <c r="N80" s="108"/>
      <c r="O80" s="108"/>
      <c r="P80" s="108"/>
      <c r="Q80" s="5"/>
      <c r="S80" s="58"/>
      <c r="T80" s="83"/>
      <c r="U80" s="155"/>
    </row>
    <row r="81" spans="1:21" s="11" customFormat="1" ht="29.25" customHeight="1">
      <c r="A81" s="61" t="s">
        <v>66</v>
      </c>
      <c r="B81" s="61"/>
      <c r="C81" s="61"/>
      <c r="D81" s="157">
        <f t="shared" ref="D81:D86" si="13">SUM(E81:P81)</f>
        <v>31843.599999999999</v>
      </c>
      <c r="E81" s="62">
        <f>E82+E83+E84</f>
        <v>619</v>
      </c>
      <c r="F81" s="62">
        <f t="shared" ref="F81:P81" si="14">F82+F83+F84</f>
        <v>2600</v>
      </c>
      <c r="G81" s="206">
        <f t="shared" si="14"/>
        <v>3970</v>
      </c>
      <c r="H81" s="62">
        <f t="shared" si="14"/>
        <v>2650</v>
      </c>
      <c r="I81" s="62">
        <f t="shared" si="14"/>
        <v>2650</v>
      </c>
      <c r="J81" s="62">
        <f t="shared" si="14"/>
        <v>2650</v>
      </c>
      <c r="K81" s="62">
        <f t="shared" si="14"/>
        <v>2650</v>
      </c>
      <c r="L81" s="62">
        <f t="shared" si="14"/>
        <v>2650</v>
      </c>
      <c r="M81" s="62">
        <f t="shared" si="14"/>
        <v>2650</v>
      </c>
      <c r="N81" s="62">
        <f t="shared" si="14"/>
        <v>2650</v>
      </c>
      <c r="O81" s="62">
        <f t="shared" si="14"/>
        <v>2650</v>
      </c>
      <c r="P81" s="62">
        <f t="shared" si="14"/>
        <v>3454.6</v>
      </c>
      <c r="Q81" s="23">
        <v>41414.699999999997</v>
      </c>
      <c r="T81" s="171">
        <v>31843.599999999999</v>
      </c>
      <c r="U81" s="179">
        <f>T81-D81</f>
        <v>0</v>
      </c>
    </row>
    <row r="82" spans="1:21" s="11" customFormat="1" ht="22.5" customHeight="1">
      <c r="A82" s="101" t="s">
        <v>73</v>
      </c>
      <c r="B82" s="118"/>
      <c r="C82" s="118"/>
      <c r="D82" s="157">
        <f t="shared" si="13"/>
        <v>31843.599999999999</v>
      </c>
      <c r="E82" s="168">
        <f>629-10</f>
        <v>619</v>
      </c>
      <c r="F82" s="122">
        <v>2600</v>
      </c>
      <c r="G82" s="203">
        <f>2600+10+1360</f>
        <v>3970</v>
      </c>
      <c r="H82" s="122">
        <f>2800-150</f>
        <v>2650</v>
      </c>
      <c r="I82" s="122">
        <f t="shared" ref="I82:O82" si="15">2800-150</f>
        <v>2650</v>
      </c>
      <c r="J82" s="122">
        <f t="shared" si="15"/>
        <v>2650</v>
      </c>
      <c r="K82" s="122">
        <f t="shared" si="15"/>
        <v>2650</v>
      </c>
      <c r="L82" s="122">
        <f t="shared" si="15"/>
        <v>2650</v>
      </c>
      <c r="M82" s="122">
        <f t="shared" si="15"/>
        <v>2650</v>
      </c>
      <c r="N82" s="122">
        <f t="shared" si="15"/>
        <v>2650</v>
      </c>
      <c r="O82" s="122">
        <f t="shared" si="15"/>
        <v>2650</v>
      </c>
      <c r="P82" s="122">
        <f>3614.6-160</f>
        <v>3454.6</v>
      </c>
      <c r="Q82" s="120"/>
      <c r="R82" s="123">
        <v>35734.800000000003</v>
      </c>
      <c r="T82" s="166"/>
      <c r="U82" s="154"/>
    </row>
    <row r="83" spans="1:21" s="11" customFormat="1" ht="22.5" customHeight="1">
      <c r="A83" s="101" t="s">
        <v>71</v>
      </c>
      <c r="B83" s="38"/>
      <c r="C83" s="38"/>
      <c r="D83" s="157">
        <f t="shared" si="13"/>
        <v>0</v>
      </c>
      <c r="E83" s="24"/>
      <c r="F83" s="24"/>
      <c r="G83" s="206"/>
      <c r="H83" s="24"/>
      <c r="I83" s="24"/>
      <c r="J83" s="24"/>
      <c r="K83" s="24"/>
      <c r="L83" s="24"/>
      <c r="M83" s="24"/>
      <c r="N83" s="24"/>
      <c r="O83" s="24"/>
      <c r="P83" s="24"/>
      <c r="Q83" s="23"/>
      <c r="S83" s="11">
        <v>3580.1</v>
      </c>
      <c r="T83" s="165"/>
      <c r="U83" s="154"/>
    </row>
    <row r="84" spans="1:21" s="11" customFormat="1" ht="22.5" customHeight="1">
      <c r="A84" s="101" t="s">
        <v>79</v>
      </c>
      <c r="B84" s="38"/>
      <c r="C84" s="38"/>
      <c r="D84" s="157">
        <f t="shared" si="13"/>
        <v>0</v>
      </c>
      <c r="E84" s="24"/>
      <c r="F84" s="24"/>
      <c r="G84" s="206"/>
      <c r="H84" s="24"/>
      <c r="I84" s="24"/>
      <c r="J84" s="24"/>
      <c r="K84" s="24"/>
      <c r="L84" s="24"/>
      <c r="M84" s="24"/>
      <c r="N84" s="24"/>
      <c r="O84" s="24"/>
      <c r="P84" s="24"/>
      <c r="Q84" s="23"/>
      <c r="S84" s="11">
        <v>3044.8</v>
      </c>
      <c r="T84" s="165"/>
      <c r="U84" s="154"/>
    </row>
    <row r="85" spans="1:21" s="11" customFormat="1" ht="60">
      <c r="A85" s="118" t="s">
        <v>67</v>
      </c>
      <c r="B85" s="118"/>
      <c r="C85" s="118"/>
      <c r="D85" s="156">
        <f t="shared" si="13"/>
        <v>45106.3</v>
      </c>
      <c r="E85" s="168">
        <f>916+41</f>
        <v>957</v>
      </c>
      <c r="F85" s="119">
        <v>2500</v>
      </c>
      <c r="G85" s="206">
        <f>3610</f>
        <v>3610</v>
      </c>
      <c r="H85" s="119">
        <v>4200</v>
      </c>
      <c r="I85" s="119">
        <v>4159</v>
      </c>
      <c r="J85" s="119">
        <v>4200</v>
      </c>
      <c r="K85" s="119">
        <v>4200</v>
      </c>
      <c r="L85" s="119">
        <v>4200</v>
      </c>
      <c r="M85" s="119">
        <v>4200</v>
      </c>
      <c r="N85" s="119">
        <v>4200</v>
      </c>
      <c r="O85" s="119">
        <v>4200</v>
      </c>
      <c r="P85" s="119">
        <v>4480.3</v>
      </c>
      <c r="Q85" s="120">
        <v>136888.70000000001</v>
      </c>
      <c r="R85" s="121">
        <v>42281.7</v>
      </c>
      <c r="T85" s="171">
        <v>45106.3</v>
      </c>
      <c r="U85" s="178">
        <f>T85-D85</f>
        <v>0</v>
      </c>
    </row>
    <row r="86" spans="1:21" s="11" customFormat="1" ht="90">
      <c r="A86" s="61" t="s">
        <v>69</v>
      </c>
      <c r="B86" s="61"/>
      <c r="C86" s="61"/>
      <c r="D86" s="156">
        <f t="shared" si="13"/>
        <v>597728.00000000012</v>
      </c>
      <c r="E86" s="62">
        <f>SUM(E87:E90)</f>
        <v>30587</v>
      </c>
      <c r="F86" s="62">
        <f>SUM(F87:F90)</f>
        <v>31633.5</v>
      </c>
      <c r="G86" s="206">
        <f t="shared" ref="G86:O86" si="16">SUM(G87:G90)</f>
        <v>21680</v>
      </c>
      <c r="H86" s="62">
        <f t="shared" si="16"/>
        <v>37600</v>
      </c>
      <c r="I86" s="62">
        <f t="shared" si="16"/>
        <v>27342</v>
      </c>
      <c r="J86" s="62">
        <f t="shared" si="16"/>
        <v>68504</v>
      </c>
      <c r="K86" s="62">
        <f t="shared" si="16"/>
        <v>68504</v>
      </c>
      <c r="L86" s="62">
        <f t="shared" si="16"/>
        <v>68504</v>
      </c>
      <c r="M86" s="62">
        <f t="shared" si="16"/>
        <v>66054.399999999994</v>
      </c>
      <c r="N86" s="62">
        <f t="shared" si="16"/>
        <v>66054.399999999994</v>
      </c>
      <c r="O86" s="62">
        <f t="shared" si="16"/>
        <v>66054.399999999994</v>
      </c>
      <c r="P86" s="62">
        <f>SUM(P87:P90)</f>
        <v>45210.299999999996</v>
      </c>
      <c r="Q86" s="23">
        <v>25290.1</v>
      </c>
      <c r="R86" s="11">
        <v>2009351.1</v>
      </c>
      <c r="S86" s="79">
        <v>1482068.8</v>
      </c>
      <c r="T86" s="165">
        <v>990543.4</v>
      </c>
      <c r="U86" s="154"/>
    </row>
    <row r="87" spans="1:21">
      <c r="A87" s="39" t="s">
        <v>73</v>
      </c>
      <c r="B87" s="101"/>
      <c r="C87" s="101"/>
      <c r="D87" s="63">
        <f>E87+F87+G87+H87+I87+J87+K87+L87+M87+N87+O87+P87</f>
        <v>28928.1</v>
      </c>
      <c r="E87" s="170">
        <f>529-123</f>
        <v>406</v>
      </c>
      <c r="F87" s="115">
        <v>2452.5</v>
      </c>
      <c r="G87" s="209">
        <f>2264+123+1293</f>
        <v>3680</v>
      </c>
      <c r="H87" s="115">
        <v>2600</v>
      </c>
      <c r="I87" s="115">
        <v>2264</v>
      </c>
      <c r="J87" s="115">
        <v>2600</v>
      </c>
      <c r="K87" s="115">
        <v>2600</v>
      </c>
      <c r="L87" s="115">
        <v>2600</v>
      </c>
      <c r="M87" s="115">
        <v>2600</v>
      </c>
      <c r="N87" s="115">
        <v>2600</v>
      </c>
      <c r="O87" s="115">
        <v>2600</v>
      </c>
      <c r="P87" s="115">
        <f>2088+1130.6-1293</f>
        <v>1925.6</v>
      </c>
      <c r="Q87" s="110"/>
      <c r="R87" s="117">
        <f>25731+1547</f>
        <v>27278</v>
      </c>
      <c r="S87" s="11"/>
      <c r="T87" s="183">
        <f>1618.3+27309.8</f>
        <v>28928.1</v>
      </c>
      <c r="U87" s="180">
        <f>T87-D87</f>
        <v>0</v>
      </c>
    </row>
    <row r="88" spans="1:21">
      <c r="A88" s="39"/>
      <c r="B88" s="60">
        <f>SUM(E88:P88)</f>
        <v>528437.9</v>
      </c>
      <c r="C88" s="60">
        <f>B88-D88</f>
        <v>-36679</v>
      </c>
      <c r="D88" s="68">
        <v>565116.9</v>
      </c>
      <c r="E88" s="110">
        <v>10000</v>
      </c>
      <c r="F88" s="111">
        <v>9000</v>
      </c>
      <c r="G88" s="204">
        <v>18000</v>
      </c>
      <c r="H88" s="6">
        <v>35000</v>
      </c>
      <c r="I88" s="6">
        <v>25078</v>
      </c>
      <c r="J88" s="6">
        <v>65904</v>
      </c>
      <c r="K88" s="6">
        <v>65904</v>
      </c>
      <c r="L88" s="6">
        <v>65904</v>
      </c>
      <c r="M88" s="6">
        <v>63454.400000000001</v>
      </c>
      <c r="N88" s="6">
        <v>63454.400000000001</v>
      </c>
      <c r="O88" s="6">
        <v>63454.400000000001</v>
      </c>
      <c r="P88" s="6">
        <v>43284.7</v>
      </c>
      <c r="Q88" s="108"/>
      <c r="T88" s="83"/>
      <c r="U88" s="155"/>
    </row>
    <row r="89" spans="1:21" ht="30">
      <c r="A89" s="39" t="s">
        <v>71</v>
      </c>
      <c r="B89" s="60">
        <f>SUM(E89:P89)</f>
        <v>40362</v>
      </c>
      <c r="C89" s="60">
        <f>B89-D89</f>
        <v>-1256879.1000000001</v>
      </c>
      <c r="D89" s="68">
        <v>1297241.1000000001</v>
      </c>
      <c r="E89" s="108">
        <v>20181</v>
      </c>
      <c r="F89" s="108">
        <v>20181</v>
      </c>
      <c r="G89" s="205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T89" s="83"/>
      <c r="U89" s="155"/>
    </row>
    <row r="90" spans="1:21">
      <c r="A90" s="39"/>
      <c r="B90" s="39"/>
      <c r="C90" s="39"/>
      <c r="D90" s="68"/>
      <c r="E90" s="108"/>
      <c r="F90" s="6"/>
      <c r="G90" s="204"/>
      <c r="H90" s="6"/>
      <c r="I90" s="6"/>
      <c r="J90" s="6"/>
      <c r="K90" s="6"/>
      <c r="L90" s="6"/>
      <c r="M90" s="6"/>
      <c r="N90" s="6"/>
      <c r="O90" s="6"/>
      <c r="P90" s="25"/>
      <c r="Q90" s="108"/>
      <c r="T90" s="83"/>
      <c r="U90" s="155"/>
    </row>
    <row r="91" spans="1:21" s="11" customFormat="1" ht="60">
      <c r="A91" s="61" t="s">
        <v>70</v>
      </c>
      <c r="B91" s="61"/>
      <c r="C91" s="84"/>
      <c r="D91" s="156">
        <f>SUM(E91:P91)</f>
        <v>1301268.83</v>
      </c>
      <c r="E91" s="62">
        <f>SUM(E92:E95)</f>
        <v>50164</v>
      </c>
      <c r="F91" s="62">
        <f>SUM(F92:F95)</f>
        <v>61611.5</v>
      </c>
      <c r="G91" s="206">
        <f t="shared" ref="G91:P91" si="17">SUM(G92:G95)</f>
        <v>90947.5</v>
      </c>
      <c r="H91" s="62">
        <f t="shared" si="17"/>
        <v>41817.199999999997</v>
      </c>
      <c r="I91" s="62">
        <f t="shared" si="17"/>
        <v>100263.9</v>
      </c>
      <c r="J91" s="62">
        <f t="shared" si="17"/>
        <v>123157.4</v>
      </c>
      <c r="K91" s="62">
        <f t="shared" si="17"/>
        <v>122379.4</v>
      </c>
      <c r="L91" s="62">
        <f t="shared" si="17"/>
        <v>121630.39999999999</v>
      </c>
      <c r="M91" s="62">
        <f t="shared" si="17"/>
        <v>142005.5</v>
      </c>
      <c r="N91" s="62">
        <f t="shared" si="17"/>
        <v>142005.5</v>
      </c>
      <c r="O91" s="62">
        <f t="shared" si="17"/>
        <v>142001.5</v>
      </c>
      <c r="P91" s="62">
        <f t="shared" si="17"/>
        <v>163285.03</v>
      </c>
      <c r="Q91" s="23">
        <v>35576</v>
      </c>
      <c r="R91" s="11">
        <v>12507529</v>
      </c>
      <c r="S91" s="11">
        <v>899386.2</v>
      </c>
      <c r="T91" s="165">
        <v>1006705.4</v>
      </c>
      <c r="U91" s="154"/>
    </row>
    <row r="92" spans="1:21" s="65" customFormat="1">
      <c r="A92" s="39" t="s">
        <v>73</v>
      </c>
      <c r="B92" s="153">
        <f>SUM(E92:P92)</f>
        <v>62472</v>
      </c>
      <c r="C92" s="114">
        <f>B92-D92</f>
        <v>0</v>
      </c>
      <c r="D92" s="184">
        <f>E92+F92+G92+H92+I92+J92+K92+L92+M92+N92+O92+P92</f>
        <v>62472</v>
      </c>
      <c r="E92" s="170">
        <f>4790-1026</f>
        <v>3764</v>
      </c>
      <c r="F92" s="115">
        <v>5200</v>
      </c>
      <c r="G92" s="209">
        <f>5200+1026+2074</f>
        <v>8300</v>
      </c>
      <c r="H92" s="115">
        <f>5200+2473-855.8</f>
        <v>6817.2</v>
      </c>
      <c r="I92" s="115">
        <v>5200</v>
      </c>
      <c r="J92" s="115">
        <f>5200-473+1000</f>
        <v>5727</v>
      </c>
      <c r="K92" s="115">
        <f>4200+749</f>
        <v>4949</v>
      </c>
      <c r="L92" s="115">
        <v>4200</v>
      </c>
      <c r="M92" s="115">
        <f>5200-690</f>
        <v>4510</v>
      </c>
      <c r="N92" s="115">
        <f>5200-690</f>
        <v>4510</v>
      </c>
      <c r="O92" s="115">
        <f>5200-690-4</f>
        <v>4506</v>
      </c>
      <c r="P92" s="115">
        <f>4267-1334+855.6+0.2+1000</f>
        <v>4788.7999999999993</v>
      </c>
      <c r="Q92" s="115"/>
      <c r="R92" s="116">
        <f>5524+30416.7</f>
        <v>35940.699999999997</v>
      </c>
      <c r="T92" s="183">
        <f>6728.9+20091.9+35651.2</f>
        <v>62472</v>
      </c>
      <c r="U92" s="185">
        <f>T92-D92</f>
        <v>0</v>
      </c>
    </row>
    <row r="93" spans="1:21">
      <c r="A93" s="39"/>
      <c r="B93" s="60">
        <f>SUM(E93:P93)</f>
        <v>1238796.83</v>
      </c>
      <c r="C93" s="60">
        <f>B93-D93</f>
        <v>95529.830000000075</v>
      </c>
      <c r="D93" s="63">
        <v>1143267</v>
      </c>
      <c r="E93" s="115">
        <v>46400</v>
      </c>
      <c r="F93" s="115">
        <v>56411.5</v>
      </c>
      <c r="G93" s="209">
        <v>82647.5</v>
      </c>
      <c r="H93" s="64">
        <v>35000</v>
      </c>
      <c r="I93" s="64">
        <v>95063.9</v>
      </c>
      <c r="J93" s="64">
        <v>117430.39999999999</v>
      </c>
      <c r="K93" s="64">
        <v>117430.39999999999</v>
      </c>
      <c r="L93" s="64">
        <v>117430.39999999999</v>
      </c>
      <c r="M93" s="64">
        <v>137495.5</v>
      </c>
      <c r="N93" s="64">
        <v>137495.5</v>
      </c>
      <c r="O93" s="64">
        <v>137495.5</v>
      </c>
      <c r="P93" s="64">
        <v>158496.23000000001</v>
      </c>
      <c r="Q93" s="108"/>
      <c r="T93" s="83"/>
      <c r="U93" s="155"/>
    </row>
    <row r="94" spans="1:21" ht="30">
      <c r="A94" s="39" t="s">
        <v>71</v>
      </c>
      <c r="B94" s="60">
        <f>SUM(E94:P94)</f>
        <v>0</v>
      </c>
      <c r="C94" s="60">
        <f>B94-D94</f>
        <v>0</v>
      </c>
      <c r="D94" s="63"/>
      <c r="E94" s="64"/>
      <c r="F94" s="64"/>
      <c r="G94" s="209"/>
      <c r="H94" s="64"/>
      <c r="I94" s="64"/>
      <c r="J94" s="64"/>
      <c r="K94" s="64"/>
      <c r="L94" s="64"/>
      <c r="M94" s="64"/>
      <c r="N94" s="64"/>
      <c r="O94" s="64"/>
      <c r="P94" s="64"/>
      <c r="Q94" s="108"/>
      <c r="T94" s="83"/>
      <c r="U94" s="155"/>
    </row>
    <row r="95" spans="1:21">
      <c r="A95" s="39"/>
      <c r="B95" s="39"/>
      <c r="C95" s="39"/>
      <c r="D95" s="63"/>
      <c r="E95" s="64"/>
      <c r="F95" s="64"/>
      <c r="G95" s="209"/>
      <c r="H95" s="64"/>
      <c r="I95" s="64"/>
      <c r="J95" s="64"/>
      <c r="K95" s="64"/>
      <c r="L95" s="64"/>
      <c r="M95" s="64"/>
      <c r="N95" s="64"/>
      <c r="O95" s="64"/>
      <c r="P95" s="64"/>
      <c r="Q95" s="108"/>
      <c r="T95" s="83"/>
      <c r="U95" s="155"/>
    </row>
    <row r="96" spans="1:21" s="11" customFormat="1" ht="43.5" customHeight="1">
      <c r="A96" s="40" t="s">
        <v>68</v>
      </c>
      <c r="B96" s="40"/>
      <c r="C96" s="40"/>
      <c r="D96" s="156">
        <f>SUM(E96:P96)</f>
        <v>445342.1</v>
      </c>
      <c r="E96" s="24">
        <f>SUM(E97:E99)</f>
        <v>126358.40000000001</v>
      </c>
      <c r="F96" s="24">
        <f t="shared" ref="F96:P96" si="18">SUM(F97:F99)</f>
        <v>302016</v>
      </c>
      <c r="G96" s="206">
        <f t="shared" si="18"/>
        <v>1400</v>
      </c>
      <c r="H96" s="24">
        <f t="shared" si="18"/>
        <v>1694</v>
      </c>
      <c r="I96" s="24">
        <f t="shared" si="18"/>
        <v>1694</v>
      </c>
      <c r="J96" s="24">
        <f t="shared" si="18"/>
        <v>1694</v>
      </c>
      <c r="K96" s="24">
        <f t="shared" si="18"/>
        <v>1694</v>
      </c>
      <c r="L96" s="24">
        <f t="shared" si="18"/>
        <v>1694</v>
      </c>
      <c r="M96" s="24">
        <f t="shared" si="18"/>
        <v>1694</v>
      </c>
      <c r="N96" s="24">
        <f t="shared" si="18"/>
        <v>1694</v>
      </c>
      <c r="O96" s="24">
        <f t="shared" si="18"/>
        <v>1635.1</v>
      </c>
      <c r="P96" s="24">
        <f t="shared" si="18"/>
        <v>2074.6</v>
      </c>
      <c r="Q96" s="24"/>
      <c r="T96" s="165">
        <v>3940682.3</v>
      </c>
      <c r="U96" s="154"/>
    </row>
    <row r="97" spans="1:21" ht="16.5" customHeight="1">
      <c r="A97" s="101" t="s">
        <v>72</v>
      </c>
      <c r="B97" s="101"/>
      <c r="C97" s="101"/>
      <c r="D97" s="68">
        <f>E97+F97+G97+H97+I97+J97+K97+L97+M97+N97+O97+P97</f>
        <v>18247.7</v>
      </c>
      <c r="E97" s="169">
        <v>360</v>
      </c>
      <c r="F97" s="111">
        <v>920</v>
      </c>
      <c r="G97" s="209">
        <v>1400</v>
      </c>
      <c r="H97" s="131">
        <v>1694</v>
      </c>
      <c r="I97" s="131">
        <v>1694</v>
      </c>
      <c r="J97" s="131">
        <v>1694</v>
      </c>
      <c r="K97" s="131">
        <v>1694</v>
      </c>
      <c r="L97" s="131">
        <v>1694</v>
      </c>
      <c r="M97" s="131">
        <v>1694</v>
      </c>
      <c r="N97" s="131">
        <v>1694</v>
      </c>
      <c r="O97" s="131">
        <f>1694-340+50+45+186.1</f>
        <v>1635.1</v>
      </c>
      <c r="P97" s="112">
        <f>2001.3-4-300-72+47+108.3+294</f>
        <v>2074.6</v>
      </c>
      <c r="Q97" s="110">
        <v>16301.9</v>
      </c>
      <c r="R97" s="113">
        <f>18831.3+110+30</f>
        <v>18971.3</v>
      </c>
      <c r="S97" s="113"/>
      <c r="T97" s="173">
        <f>110+130+18007.7</f>
        <v>18247.7</v>
      </c>
      <c r="U97" s="180">
        <f>T97-D97</f>
        <v>0</v>
      </c>
    </row>
    <row r="98" spans="1:21" ht="16.5" customHeight="1">
      <c r="A98" s="39" t="s">
        <v>73</v>
      </c>
      <c r="B98" s="39"/>
      <c r="C98" s="39"/>
      <c r="D98" s="158">
        <f>E98+F98+G98+H98+I98+J98+K98+L98+M98+N98+O98+P98</f>
        <v>126450.7</v>
      </c>
      <c r="E98" s="108">
        <v>57643.8</v>
      </c>
      <c r="F98" s="6">
        <v>68806.899999999994</v>
      </c>
      <c r="G98" s="204"/>
      <c r="H98" s="6"/>
      <c r="I98" s="6"/>
      <c r="J98" s="6"/>
      <c r="K98" s="6"/>
      <c r="L98" s="6"/>
      <c r="M98" s="6"/>
      <c r="N98" s="6"/>
      <c r="O98" s="6"/>
      <c r="P98" s="25"/>
      <c r="Q98" s="104"/>
      <c r="S98" s="58"/>
      <c r="T98" s="83"/>
      <c r="U98" s="155"/>
    </row>
    <row r="99" spans="1:21" ht="16.5" customHeight="1">
      <c r="A99" s="39" t="s">
        <v>71</v>
      </c>
      <c r="B99" s="39"/>
      <c r="C99" s="39"/>
      <c r="D99" s="158">
        <f>E99+F99+G99+H99+I99+J99+K99+L99+M99+N99+O99+P99</f>
        <v>300643.7</v>
      </c>
      <c r="E99" s="108">
        <v>68354.600000000006</v>
      </c>
      <c r="F99" s="6">
        <v>232289.1</v>
      </c>
      <c r="G99" s="204"/>
      <c r="H99" s="6"/>
      <c r="I99" s="6"/>
      <c r="J99" s="6"/>
      <c r="K99" s="6"/>
      <c r="L99" s="6"/>
      <c r="M99" s="6"/>
      <c r="N99" s="6"/>
      <c r="O99" s="6"/>
      <c r="P99" s="25"/>
      <c r="T99" s="83"/>
      <c r="U99" s="155"/>
    </row>
    <row r="100" spans="1:21" hidden="1">
      <c r="A100" s="41" t="s">
        <v>50</v>
      </c>
      <c r="B100" s="41"/>
      <c r="C100" s="41"/>
      <c r="D100" s="159"/>
      <c r="E100" s="108"/>
      <c r="F100" s="6"/>
      <c r="G100" s="204"/>
      <c r="H100" s="6"/>
      <c r="I100" s="6"/>
      <c r="J100" s="6"/>
      <c r="K100" s="6"/>
      <c r="L100" s="6"/>
      <c r="M100" s="6"/>
      <c r="N100" s="6"/>
      <c r="O100" s="6"/>
      <c r="P100" s="25"/>
      <c r="T100" s="83"/>
      <c r="U100" s="155"/>
    </row>
    <row r="101" spans="1:21" hidden="1">
      <c r="A101" s="31" t="s">
        <v>46</v>
      </c>
      <c r="B101" s="31"/>
      <c r="C101" s="31"/>
      <c r="D101" s="160"/>
      <c r="E101" s="136"/>
      <c r="F101" s="135"/>
      <c r="G101" s="190"/>
      <c r="H101" s="135"/>
      <c r="I101" s="135"/>
      <c r="J101" s="135"/>
      <c r="K101" s="135"/>
      <c r="L101" s="135"/>
      <c r="M101" s="135"/>
      <c r="N101" s="135"/>
      <c r="O101" s="135"/>
      <c r="P101" s="14"/>
      <c r="T101" s="83"/>
      <c r="U101" s="155"/>
    </row>
    <row r="102" spans="1:21" hidden="1">
      <c r="A102" s="32" t="s">
        <v>2</v>
      </c>
      <c r="B102" s="32"/>
      <c r="C102" s="32"/>
      <c r="D102" s="161"/>
      <c r="E102" s="106"/>
      <c r="F102" s="7"/>
      <c r="G102" s="195"/>
      <c r="H102" s="7"/>
      <c r="I102" s="7"/>
      <c r="J102" s="7"/>
      <c r="K102" s="7"/>
      <c r="L102" s="7"/>
      <c r="M102" s="7"/>
      <c r="N102" s="7"/>
      <c r="O102" s="7"/>
      <c r="P102" s="15"/>
      <c r="T102" s="83"/>
      <c r="U102" s="155"/>
    </row>
    <row r="103" spans="1:21" ht="18" hidden="1" customHeight="1">
      <c r="A103" s="33" t="s">
        <v>41</v>
      </c>
      <c r="B103" s="33"/>
      <c r="C103" s="33"/>
      <c r="D103" s="162"/>
      <c r="E103" s="106"/>
      <c r="F103" s="7"/>
      <c r="G103" s="195"/>
      <c r="H103" s="7"/>
      <c r="I103" s="7"/>
      <c r="J103" s="7"/>
      <c r="K103" s="7"/>
      <c r="L103" s="7"/>
      <c r="M103" s="7"/>
      <c r="N103" s="7"/>
      <c r="O103" s="7"/>
      <c r="P103" s="26"/>
      <c r="T103" s="83"/>
      <c r="U103" s="155"/>
    </row>
    <row r="104" spans="1:21" ht="18" hidden="1" customHeight="1">
      <c r="A104" s="4" t="s">
        <v>81</v>
      </c>
      <c r="B104" s="4"/>
      <c r="C104" s="4"/>
      <c r="D104" s="163"/>
      <c r="E104" s="106"/>
      <c r="F104" s="7"/>
      <c r="G104" s="195"/>
      <c r="H104" s="7"/>
      <c r="I104" s="7"/>
      <c r="J104" s="7"/>
      <c r="K104" s="7"/>
      <c r="L104" s="7"/>
      <c r="M104" s="7"/>
      <c r="N104" s="7"/>
      <c r="O104" s="7"/>
      <c r="P104" s="3"/>
      <c r="T104" s="83"/>
      <c r="U104" s="155"/>
    </row>
    <row r="105" spans="1:21" ht="33.75" customHeight="1">
      <c r="A105" s="149" t="s">
        <v>82</v>
      </c>
      <c r="B105" s="149"/>
      <c r="C105" s="149"/>
      <c r="D105" s="164">
        <f>SUM(E105:P105)</f>
        <v>5056</v>
      </c>
      <c r="E105" s="150">
        <f>SUM(E106:E108)</f>
        <v>90</v>
      </c>
      <c r="F105" s="150">
        <f t="shared" ref="F105:P105" si="19">SUM(F106:F108)</f>
        <v>150</v>
      </c>
      <c r="G105" s="210">
        <f t="shared" si="19"/>
        <v>430</v>
      </c>
      <c r="H105" s="150">
        <f t="shared" si="19"/>
        <v>480</v>
      </c>
      <c r="I105" s="150">
        <f t="shared" si="19"/>
        <v>480</v>
      </c>
      <c r="J105" s="150">
        <f t="shared" si="19"/>
        <v>480</v>
      </c>
      <c r="K105" s="150">
        <f t="shared" si="19"/>
        <v>480</v>
      </c>
      <c r="L105" s="150">
        <f t="shared" si="19"/>
        <v>480</v>
      </c>
      <c r="M105" s="150">
        <f t="shared" si="19"/>
        <v>480</v>
      </c>
      <c r="N105" s="150">
        <f t="shared" si="19"/>
        <v>480</v>
      </c>
      <c r="O105" s="150">
        <f t="shared" si="19"/>
        <v>480</v>
      </c>
      <c r="P105" s="150">
        <f t="shared" si="19"/>
        <v>546</v>
      </c>
      <c r="T105" s="83">
        <v>195583.5</v>
      </c>
      <c r="U105" s="155"/>
    </row>
    <row r="106" spans="1:21" ht="30">
      <c r="A106" s="101" t="s">
        <v>72</v>
      </c>
      <c r="B106" s="101"/>
      <c r="C106" s="101"/>
      <c r="D106" s="68">
        <f>E106+F106+G106+H106+I106+J106+K106+L106+M106+N106+O106+P106</f>
        <v>5056</v>
      </c>
      <c r="E106" s="169">
        <v>90</v>
      </c>
      <c r="F106" s="111">
        <v>150</v>
      </c>
      <c r="G106" s="209">
        <v>430</v>
      </c>
      <c r="H106" s="131">
        <v>480</v>
      </c>
      <c r="I106" s="131">
        <v>480</v>
      </c>
      <c r="J106" s="131">
        <v>480</v>
      </c>
      <c r="K106" s="131">
        <v>480</v>
      </c>
      <c r="L106" s="131">
        <v>480</v>
      </c>
      <c r="M106" s="131">
        <v>480</v>
      </c>
      <c r="N106" s="131">
        <v>480</v>
      </c>
      <c r="O106" s="131">
        <v>480</v>
      </c>
      <c r="P106" s="131">
        <f>496+50</f>
        <v>546</v>
      </c>
      <c r="T106" s="183">
        <v>5056</v>
      </c>
      <c r="U106" s="180">
        <f>T106-D106</f>
        <v>0</v>
      </c>
    </row>
    <row r="107" spans="1:21">
      <c r="A107" s="151" t="s">
        <v>73</v>
      </c>
      <c r="B107" s="151"/>
      <c r="C107" s="151"/>
      <c r="D107" s="152">
        <f>E107+F107+G107+H107+I107+J107+K107+L107+M107+N107+O107+P107</f>
        <v>0</v>
      </c>
      <c r="E107" s="1"/>
      <c r="F107" s="1"/>
      <c r="G107" s="196"/>
      <c r="H107" s="1"/>
      <c r="I107" s="1"/>
      <c r="J107" s="1"/>
      <c r="K107" s="1"/>
      <c r="L107" s="1"/>
      <c r="M107" s="1"/>
      <c r="N107" s="1"/>
      <c r="O107" s="1"/>
      <c r="P107" s="1"/>
      <c r="T107" s="83"/>
      <c r="U107" s="155"/>
    </row>
    <row r="108" spans="1:21">
      <c r="A108" s="109" t="s">
        <v>51</v>
      </c>
      <c r="T108" s="83"/>
    </row>
    <row r="109" spans="1:21" ht="22.5" customHeight="1">
      <c r="A109" s="109" t="s">
        <v>52</v>
      </c>
      <c r="E109" s="109">
        <f>E106+E97+E92+E87+E85+E76+E71+E66+E61+E60+E58+E57+E56+E52+E51+E82</f>
        <v>50810</v>
      </c>
      <c r="O109" s="109">
        <f>O51+O52+O56+O57+O58+O60+O62+O64+O67+O69+O72+O74+O77+O79+O82+O85+O87+O92+O97+O106</f>
        <v>115023.20000000001</v>
      </c>
      <c r="T109" s="83"/>
    </row>
    <row r="110" spans="1:21">
      <c r="D110" s="98"/>
      <c r="T110" s="83"/>
    </row>
    <row r="111" spans="1:21">
      <c r="D111" s="99"/>
      <c r="T111" s="83"/>
    </row>
    <row r="112" spans="1:21">
      <c r="T112" s="83"/>
    </row>
    <row r="113" spans="4:20">
      <c r="T113" s="83"/>
    </row>
    <row r="114" spans="4:20">
      <c r="D114" s="100"/>
    </row>
  </sheetData>
  <mergeCells count="26">
    <mergeCell ref="M40:M41"/>
    <mergeCell ref="N40:N41"/>
    <mergeCell ref="O40:O41"/>
    <mergeCell ref="P40:P41"/>
    <mergeCell ref="O36:O38"/>
    <mergeCell ref="P36:P38"/>
    <mergeCell ref="M36:M38"/>
    <mergeCell ref="N36:N38"/>
    <mergeCell ref="E40:E41"/>
    <mergeCell ref="F40:F41"/>
    <mergeCell ref="G40:G41"/>
    <mergeCell ref="H40:H41"/>
    <mergeCell ref="I40:I41"/>
    <mergeCell ref="H36:H38"/>
    <mergeCell ref="K40:K41"/>
    <mergeCell ref="L40:L41"/>
    <mergeCell ref="I36:I38"/>
    <mergeCell ref="J36:J38"/>
    <mergeCell ref="K36:K38"/>
    <mergeCell ref="L36:L38"/>
    <mergeCell ref="J40:J41"/>
    <mergeCell ref="A17:A25"/>
    <mergeCell ref="D17:D25"/>
    <mergeCell ref="E36:E38"/>
    <mergeCell ref="F36:F38"/>
    <mergeCell ref="G36:G38"/>
  </mergeCells>
  <conditionalFormatting sqref="D43:D44">
    <cfRule type="cellIs" dxfId="59" priority="30" stopIfTrue="1" operator="equal">
      <formula>$D$42</formula>
    </cfRule>
  </conditionalFormatting>
  <conditionalFormatting sqref="D46:D48 E47:P47">
    <cfRule type="cellIs" dxfId="58" priority="27" stopIfTrue="1" operator="equal">
      <formula>$D$45</formula>
    </cfRule>
    <cfRule type="cellIs" dxfId="57" priority="28" stopIfTrue="1" operator="equal">
      <formula>$D$45</formula>
    </cfRule>
    <cfRule type="cellIs" dxfId="56" priority="29" stopIfTrue="1" operator="equal">
      <formula>$D$42</formula>
    </cfRule>
  </conditionalFormatting>
  <conditionalFormatting sqref="D50">
    <cfRule type="cellIs" dxfId="55" priority="26" stopIfTrue="1" operator="equal">
      <formula>$D$49</formula>
    </cfRule>
  </conditionalFormatting>
  <conditionalFormatting sqref="C46:C48">
    <cfRule type="cellIs" dxfId="54" priority="25" stopIfTrue="1" operator="equal">
      <formula>0</formula>
    </cfRule>
  </conditionalFormatting>
  <conditionalFormatting sqref="C50">
    <cfRule type="cellIs" dxfId="53" priority="24" stopIfTrue="1" operator="equal">
      <formula>0</formula>
    </cfRule>
  </conditionalFormatting>
  <conditionalFormatting sqref="C44">
    <cfRule type="cellIs" dxfId="52" priority="23" stopIfTrue="1" operator="equal">
      <formula>0</formula>
    </cfRule>
  </conditionalFormatting>
  <conditionalFormatting sqref="E47:P48">
    <cfRule type="cellIs" dxfId="51" priority="20" stopIfTrue="1" operator="equal">
      <formula>$D$45</formula>
    </cfRule>
    <cfRule type="cellIs" dxfId="50" priority="21" stopIfTrue="1" operator="equal">
      <formula>$D$45</formula>
    </cfRule>
    <cfRule type="cellIs" dxfId="49" priority="22" stopIfTrue="1" operator="equal">
      <formula>$D$42</formula>
    </cfRule>
  </conditionalFormatting>
  <conditionalFormatting sqref="E48:P48">
    <cfRule type="cellIs" dxfId="48" priority="17" stopIfTrue="1" operator="equal">
      <formula>$D$45</formula>
    </cfRule>
    <cfRule type="cellIs" dxfId="47" priority="18" stopIfTrue="1" operator="equal">
      <formula>$D$45</formula>
    </cfRule>
    <cfRule type="cellIs" dxfId="46" priority="19" stopIfTrue="1" operator="equal">
      <formula>$D$42</formula>
    </cfRule>
  </conditionalFormatting>
  <conditionalFormatting sqref="E48">
    <cfRule type="cellIs" dxfId="45" priority="16" stopIfTrue="1" operator="lessThan">
      <formula>0</formula>
    </cfRule>
  </conditionalFormatting>
  <conditionalFormatting sqref="F48:P48">
    <cfRule type="cellIs" dxfId="44" priority="15" stopIfTrue="1" operator="lessThan">
      <formula>0</formula>
    </cfRule>
  </conditionalFormatting>
  <conditionalFormatting sqref="D48">
    <cfRule type="cellIs" dxfId="43" priority="12" stopIfTrue="1" operator="equal">
      <formula>$D$45</formula>
    </cfRule>
    <cfRule type="cellIs" dxfId="42" priority="13" stopIfTrue="1" operator="equal">
      <formula>$D$45</formula>
    </cfRule>
    <cfRule type="cellIs" dxfId="41" priority="14" stopIfTrue="1" operator="equal">
      <formula>$D$42</formula>
    </cfRule>
  </conditionalFormatting>
  <conditionalFormatting sqref="D48">
    <cfRule type="cellIs" dxfId="40" priority="9" stopIfTrue="1" operator="equal">
      <formula>$D$45</formula>
    </cfRule>
    <cfRule type="cellIs" dxfId="39" priority="10" stopIfTrue="1" operator="equal">
      <formula>$D$45</formula>
    </cfRule>
    <cfRule type="cellIs" dxfId="38" priority="11" stopIfTrue="1" operator="equal">
      <formula>$D$42</formula>
    </cfRule>
  </conditionalFormatting>
  <conditionalFormatting sqref="D48">
    <cfRule type="cellIs" dxfId="37" priority="8" stopIfTrue="1" operator="lessThan">
      <formula>0</formula>
    </cfRule>
  </conditionalFormatting>
  <conditionalFormatting sqref="D47:P47">
    <cfRule type="cellIs" dxfId="36" priority="5" stopIfTrue="1" operator="equal">
      <formula>$D$45</formula>
    </cfRule>
    <cfRule type="cellIs" dxfId="35" priority="6" stopIfTrue="1" operator="equal">
      <formula>$D$45</formula>
    </cfRule>
    <cfRule type="cellIs" dxfId="34" priority="7" stopIfTrue="1" operator="equal">
      <formula>$D$42</formula>
    </cfRule>
  </conditionalFormatting>
  <conditionalFormatting sqref="D47:P47">
    <cfRule type="cellIs" dxfId="33" priority="2" stopIfTrue="1" operator="equal">
      <formula>$D$45</formula>
    </cfRule>
    <cfRule type="cellIs" dxfId="32" priority="3" stopIfTrue="1" operator="equal">
      <formula>$D$45</formula>
    </cfRule>
    <cfRule type="cellIs" dxfId="31" priority="4" stopIfTrue="1" operator="equal">
      <formula>$D$42</formula>
    </cfRule>
  </conditionalFormatting>
  <conditionalFormatting sqref="D47:P47">
    <cfRule type="cellIs" dxfId="30" priority="1" stopIfTrue="1" operator="lessThan">
      <formula>0</formula>
    </cfRule>
  </conditionalFormatting>
  <pageMargins left="0.31" right="0.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14"/>
  <sheetViews>
    <sheetView topLeftCell="A81" workbookViewId="0">
      <selection activeCell="M83" sqref="M83"/>
    </sheetView>
  </sheetViews>
  <sheetFormatPr defaultRowHeight="15"/>
  <cols>
    <col min="1" max="1" width="20.5703125" style="109" customWidth="1"/>
    <col min="2" max="2" width="0.5703125" style="109" customWidth="1"/>
    <col min="3" max="3" width="11.28515625" style="109" hidden="1" customWidth="1"/>
    <col min="4" max="4" width="13.5703125" style="109" customWidth="1"/>
    <col min="5" max="5" width="13.855468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1" width="13.5703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0" width="10" style="109" bestFit="1" customWidth="1"/>
    <col min="21" max="21" width="9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4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  <c r="N14" s="109" t="s">
        <v>85</v>
      </c>
    </row>
    <row r="15" spans="7:17" ht="18.75">
      <c r="G15" s="20" t="s">
        <v>84</v>
      </c>
      <c r="H15" s="20"/>
      <c r="I15" s="20"/>
      <c r="J15" s="20"/>
      <c r="P15" s="109" t="s">
        <v>86</v>
      </c>
      <c r="Q15" s="104"/>
    </row>
    <row r="16" spans="7:17" ht="15.75" thickBot="1">
      <c r="Q16" s="104"/>
    </row>
    <row r="17" spans="1:17" ht="15.75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17">
      <c r="A18" s="246"/>
      <c r="B18" s="28"/>
      <c r="C18" s="28"/>
      <c r="D18" s="249"/>
      <c r="E18" s="102" t="s">
        <v>15</v>
      </c>
      <c r="F18" s="2" t="s">
        <v>21</v>
      </c>
      <c r="G18" s="186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" t="s">
        <v>30</v>
      </c>
      <c r="N18" s="2" t="s">
        <v>32</v>
      </c>
      <c r="O18" s="2" t="s">
        <v>16</v>
      </c>
      <c r="P18" s="17" t="s">
        <v>34</v>
      </c>
    </row>
    <row r="19" spans="1:17">
      <c r="A19" s="246"/>
      <c r="B19" s="28"/>
      <c r="C19" s="28"/>
      <c r="D19" s="249"/>
      <c r="E19" s="102" t="s">
        <v>16</v>
      </c>
      <c r="F19" s="2" t="s">
        <v>22</v>
      </c>
      <c r="G19" s="186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" t="s">
        <v>22</v>
      </c>
      <c r="N19" s="2" t="s">
        <v>33</v>
      </c>
      <c r="O19" s="2" t="s">
        <v>32</v>
      </c>
      <c r="P19" s="17" t="s">
        <v>22</v>
      </c>
    </row>
    <row r="20" spans="1:17">
      <c r="A20" s="246"/>
      <c r="B20" s="28"/>
      <c r="C20" s="28"/>
      <c r="D20" s="249"/>
      <c r="E20" s="102" t="s">
        <v>17</v>
      </c>
      <c r="F20" s="2" t="s">
        <v>17</v>
      </c>
      <c r="G20" s="186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" t="s">
        <v>16</v>
      </c>
      <c r="N20" s="2" t="s">
        <v>25</v>
      </c>
      <c r="O20" s="2" t="s">
        <v>15</v>
      </c>
      <c r="P20" s="17" t="s">
        <v>33</v>
      </c>
    </row>
    <row r="21" spans="1:17">
      <c r="A21" s="246"/>
      <c r="B21" s="28"/>
      <c r="C21" s="28"/>
      <c r="D21" s="249"/>
      <c r="E21" s="102" t="s">
        <v>18</v>
      </c>
      <c r="F21" s="2" t="s">
        <v>19</v>
      </c>
      <c r="G21" s="186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" t="s">
        <v>25</v>
      </c>
      <c r="N21" s="2" t="s">
        <v>15</v>
      </c>
      <c r="O21" s="2" t="s">
        <v>31</v>
      </c>
      <c r="P21" s="17" t="s">
        <v>18</v>
      </c>
    </row>
    <row r="22" spans="1:17">
      <c r="A22" s="246"/>
      <c r="B22" s="28"/>
      <c r="C22" s="28"/>
      <c r="D22" s="249"/>
      <c r="E22" s="102" t="s">
        <v>19</v>
      </c>
      <c r="F22" s="2" t="s">
        <v>18</v>
      </c>
      <c r="G22" s="186"/>
      <c r="H22" s="2" t="s">
        <v>23</v>
      </c>
      <c r="I22" s="2"/>
      <c r="J22" s="2"/>
      <c r="K22" s="2"/>
      <c r="L22" s="2" t="s">
        <v>30</v>
      </c>
      <c r="M22" s="2" t="s">
        <v>15</v>
      </c>
      <c r="N22" s="2" t="s">
        <v>31</v>
      </c>
      <c r="O22" s="2" t="s">
        <v>19</v>
      </c>
      <c r="P22" s="17" t="s">
        <v>31</v>
      </c>
    </row>
    <row r="23" spans="1:17">
      <c r="A23" s="246"/>
      <c r="B23" s="28"/>
      <c r="C23" s="28"/>
      <c r="D23" s="249"/>
      <c r="E23" s="102" t="s">
        <v>20</v>
      </c>
      <c r="F23" s="2" t="s">
        <v>23</v>
      </c>
      <c r="G23" s="186"/>
      <c r="H23" s="2" t="s">
        <v>20</v>
      </c>
      <c r="I23" s="2"/>
      <c r="J23" s="2"/>
      <c r="K23" s="2"/>
      <c r="L23" s="2" t="s">
        <v>25</v>
      </c>
      <c r="M23" s="2" t="s">
        <v>31</v>
      </c>
      <c r="N23" s="2" t="s">
        <v>19</v>
      </c>
      <c r="O23" s="2" t="s">
        <v>20</v>
      </c>
      <c r="P23" s="17" t="s">
        <v>19</v>
      </c>
    </row>
    <row r="24" spans="1:17">
      <c r="A24" s="246"/>
      <c r="B24" s="28"/>
      <c r="C24" s="28"/>
      <c r="D24" s="249"/>
      <c r="E24" s="102"/>
      <c r="F24" s="2" t="s">
        <v>20</v>
      </c>
      <c r="G24" s="186"/>
      <c r="H24" s="2"/>
      <c r="I24" s="2"/>
      <c r="J24" s="2"/>
      <c r="K24" s="2"/>
      <c r="L24" s="2"/>
      <c r="M24" s="2" t="s">
        <v>19</v>
      </c>
      <c r="N24" s="2" t="s">
        <v>20</v>
      </c>
      <c r="O24" s="2"/>
      <c r="P24" s="17" t="s">
        <v>20</v>
      </c>
    </row>
    <row r="25" spans="1:17" ht="15.75" thickBot="1">
      <c r="A25" s="247"/>
      <c r="B25" s="29"/>
      <c r="C25" s="29"/>
      <c r="D25" s="250"/>
      <c r="E25" s="42"/>
      <c r="F25" s="18"/>
      <c r="G25" s="187"/>
      <c r="H25" s="18"/>
      <c r="I25" s="18"/>
      <c r="J25" s="18"/>
      <c r="K25" s="18"/>
      <c r="L25" s="18"/>
      <c r="M25" s="18" t="s">
        <v>20</v>
      </c>
      <c r="N25" s="18"/>
      <c r="O25" s="18"/>
      <c r="P25" s="19"/>
    </row>
    <row r="26" spans="1:17" ht="15.75" thickBot="1">
      <c r="A26" s="50">
        <v>1</v>
      </c>
      <c r="B26" s="50"/>
      <c r="C26" s="50"/>
      <c r="D26" s="51">
        <v>2</v>
      </c>
      <c r="E26" s="52">
        <v>3</v>
      </c>
      <c r="F26" s="53">
        <v>4</v>
      </c>
      <c r="G26" s="188">
        <v>5</v>
      </c>
      <c r="H26" s="53">
        <v>6</v>
      </c>
      <c r="I26" s="53">
        <v>7</v>
      </c>
      <c r="J26" s="53">
        <v>8</v>
      </c>
      <c r="K26" s="53">
        <v>9</v>
      </c>
      <c r="L26" s="52">
        <v>10</v>
      </c>
      <c r="M26" s="53">
        <v>11</v>
      </c>
      <c r="N26" s="53">
        <v>12</v>
      </c>
      <c r="O26" s="53">
        <v>13</v>
      </c>
      <c r="P26" s="54">
        <v>14</v>
      </c>
    </row>
    <row r="27" spans="1:17">
      <c r="A27" s="30" t="s">
        <v>37</v>
      </c>
      <c r="B27" s="30"/>
      <c r="C27" s="30"/>
      <c r="D27" s="44"/>
      <c r="E27" s="43"/>
      <c r="F27" s="12"/>
      <c r="G27" s="189"/>
      <c r="H27" s="12"/>
      <c r="I27" s="12"/>
      <c r="J27" s="12"/>
      <c r="K27" s="12"/>
      <c r="L27" s="12"/>
      <c r="M27" s="12"/>
      <c r="N27" s="12"/>
      <c r="O27" s="12"/>
      <c r="P27" s="13"/>
    </row>
    <row r="28" spans="1:17">
      <c r="A28" s="31" t="s">
        <v>38</v>
      </c>
      <c r="B28" s="31"/>
      <c r="C28" s="31"/>
      <c r="D28" s="45"/>
      <c r="E28" s="136"/>
      <c r="F28" s="135"/>
      <c r="G28" s="190"/>
      <c r="H28" s="135"/>
      <c r="I28" s="135"/>
      <c r="J28" s="135"/>
      <c r="K28" s="135"/>
      <c r="L28" s="135"/>
      <c r="M28" s="135"/>
      <c r="N28" s="135"/>
      <c r="O28" s="135"/>
      <c r="P28" s="14"/>
    </row>
    <row r="29" spans="1:17" ht="15.75" thickBot="1">
      <c r="A29" s="31" t="s">
        <v>39</v>
      </c>
      <c r="B29" s="31"/>
      <c r="C29" s="31"/>
      <c r="D29" s="45"/>
      <c r="E29" s="136"/>
      <c r="F29" s="135"/>
      <c r="G29" s="190"/>
      <c r="H29" s="135"/>
      <c r="I29" s="135"/>
      <c r="J29" s="135"/>
      <c r="K29" s="135"/>
      <c r="L29" s="135"/>
      <c r="M29" s="135"/>
      <c r="N29" s="135"/>
      <c r="O29" s="135"/>
      <c r="P29" s="14"/>
    </row>
    <row r="30" spans="1:17" ht="15.75" thickBot="1">
      <c r="A30" s="55" t="s">
        <v>40</v>
      </c>
      <c r="B30" s="55"/>
      <c r="C30" s="55"/>
      <c r="D30" s="142">
        <f>SUM(E30:P30)</f>
        <v>7241954.5000000009</v>
      </c>
      <c r="E30" s="143">
        <f t="shared" ref="E30:P30" si="0">E32+E33</f>
        <v>486344.4</v>
      </c>
      <c r="F30" s="144">
        <f t="shared" si="0"/>
        <v>524563.4</v>
      </c>
      <c r="G30" s="191">
        <f t="shared" si="0"/>
        <v>555023.4</v>
      </c>
      <c r="H30" s="144">
        <f t="shared" si="0"/>
        <v>735042.4</v>
      </c>
      <c r="I30" s="144">
        <f>I32+I33</f>
        <v>556553.4</v>
      </c>
      <c r="J30" s="144">
        <f t="shared" si="0"/>
        <v>553160.4</v>
      </c>
      <c r="K30" s="144">
        <f t="shared" si="0"/>
        <v>717956.4</v>
      </c>
      <c r="L30" s="144">
        <f t="shared" si="0"/>
        <v>569906.4</v>
      </c>
      <c r="M30" s="144">
        <f t="shared" si="0"/>
        <v>580405.4</v>
      </c>
      <c r="N30" s="144">
        <f t="shared" si="0"/>
        <v>718075.4</v>
      </c>
      <c r="O30" s="144">
        <f t="shared" si="0"/>
        <v>558520.4</v>
      </c>
      <c r="P30" s="145">
        <f t="shared" si="0"/>
        <v>686403.1</v>
      </c>
    </row>
    <row r="31" spans="1:17">
      <c r="A31" s="32" t="s">
        <v>41</v>
      </c>
      <c r="B31" s="32"/>
      <c r="C31" s="32"/>
      <c r="D31" s="139"/>
      <c r="E31" s="140"/>
      <c r="F31" s="137"/>
      <c r="G31" s="192"/>
      <c r="H31" s="137"/>
      <c r="I31" s="137"/>
      <c r="J31" s="137"/>
      <c r="K31" s="137"/>
      <c r="L31" s="137"/>
      <c r="M31" s="137"/>
      <c r="N31" s="137"/>
      <c r="O31" s="137"/>
      <c r="P31" s="141"/>
    </row>
    <row r="32" spans="1:17" ht="45">
      <c r="A32" s="133" t="s">
        <v>75</v>
      </c>
      <c r="B32" s="148"/>
      <c r="C32" s="133"/>
      <c r="D32" s="134">
        <f>SUM(E32:P32)</f>
        <v>4042492</v>
      </c>
      <c r="E32" s="132">
        <v>214615</v>
      </c>
      <c r="F32" s="132">
        <v>252834</v>
      </c>
      <c r="G32" s="193">
        <v>283294</v>
      </c>
      <c r="H32" s="132">
        <f>432343+37780</f>
        <v>470123</v>
      </c>
      <c r="I32" s="132">
        <f>289734+1900</f>
        <v>291634</v>
      </c>
      <c r="J32" s="132">
        <f>286341+1900</f>
        <v>288241</v>
      </c>
      <c r="K32" s="132">
        <f>446917+6120</f>
        <v>453037</v>
      </c>
      <c r="L32" s="132">
        <f>303087+1900</f>
        <v>304987</v>
      </c>
      <c r="M32" s="132">
        <f>313586+1900</f>
        <v>315486</v>
      </c>
      <c r="N32" s="132">
        <f>451256+1900</f>
        <v>453156</v>
      </c>
      <c r="O32" s="132">
        <f>291701+1900</f>
        <v>293601</v>
      </c>
      <c r="P32" s="138">
        <f>419584+1900</f>
        <v>421484</v>
      </c>
    </row>
    <row r="33" spans="1:16" ht="30.75" thickBot="1">
      <c r="A33" s="146" t="s">
        <v>42</v>
      </c>
      <c r="B33" s="147"/>
      <c r="C33" s="34"/>
      <c r="D33" s="47">
        <f>SUM(E33:P33)</f>
        <v>3199462.4999999995</v>
      </c>
      <c r="E33" s="16">
        <v>271729.40000000002</v>
      </c>
      <c r="F33" s="16">
        <v>271729.40000000002</v>
      </c>
      <c r="G33" s="194">
        <v>271729.40000000002</v>
      </c>
      <c r="H33" s="16">
        <v>264919.40000000002</v>
      </c>
      <c r="I33" s="16">
        <v>264919.40000000002</v>
      </c>
      <c r="J33" s="16">
        <v>264919.40000000002</v>
      </c>
      <c r="K33" s="16">
        <v>264919.40000000002</v>
      </c>
      <c r="L33" s="16">
        <v>264919.40000000002</v>
      </c>
      <c r="M33" s="16">
        <v>264919.40000000002</v>
      </c>
      <c r="N33" s="16">
        <v>264919.40000000002</v>
      </c>
      <c r="O33" s="16">
        <v>264919.40000000002</v>
      </c>
      <c r="P33" s="16">
        <v>264919.09999999998</v>
      </c>
    </row>
    <row r="34" spans="1:16">
      <c r="A34" s="9" t="s">
        <v>43</v>
      </c>
      <c r="B34" s="105"/>
      <c r="C34" s="105"/>
      <c r="D34" s="46"/>
      <c r="E34" s="106"/>
      <c r="F34" s="7"/>
      <c r="G34" s="195"/>
      <c r="H34" s="7"/>
      <c r="I34" s="7"/>
      <c r="J34" s="7"/>
      <c r="K34" s="7"/>
      <c r="L34" s="7"/>
      <c r="M34" s="7"/>
      <c r="N34" s="7"/>
      <c r="O34" s="7"/>
      <c r="P34" s="7"/>
    </row>
    <row r="35" spans="1:16">
      <c r="A35" s="3" t="s">
        <v>44</v>
      </c>
      <c r="B35" s="4"/>
      <c r="C35" s="4"/>
      <c r="D35" s="48"/>
      <c r="E35" s="5"/>
      <c r="F35" s="1"/>
      <c r="G35" s="196"/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8" t="s">
        <v>45</v>
      </c>
      <c r="B36" s="103"/>
      <c r="C36" s="103"/>
      <c r="D36" s="49"/>
      <c r="E36" s="251"/>
      <c r="F36" s="254"/>
      <c r="G36" s="257"/>
      <c r="H36" s="254"/>
      <c r="I36" s="254"/>
      <c r="J36" s="254"/>
      <c r="K36" s="254"/>
      <c r="L36" s="254"/>
      <c r="M36" s="254"/>
      <c r="N36" s="254"/>
      <c r="O36" s="254"/>
      <c r="P36" s="254"/>
    </row>
    <row r="37" spans="1:16">
      <c r="A37" s="107" t="s">
        <v>46</v>
      </c>
      <c r="B37" s="104"/>
      <c r="C37" s="104"/>
      <c r="D37" s="45"/>
      <c r="E37" s="252"/>
      <c r="F37" s="255"/>
      <c r="G37" s="258"/>
      <c r="H37" s="255"/>
      <c r="I37" s="255"/>
      <c r="J37" s="255"/>
      <c r="K37" s="255"/>
      <c r="L37" s="255"/>
      <c r="M37" s="255"/>
      <c r="N37" s="255"/>
      <c r="O37" s="255"/>
      <c r="P37" s="255"/>
    </row>
    <row r="38" spans="1:16">
      <c r="A38" s="9" t="s">
        <v>2</v>
      </c>
      <c r="B38" s="105"/>
      <c r="C38" s="105"/>
      <c r="D38" s="46"/>
      <c r="E38" s="253"/>
      <c r="F38" s="256"/>
      <c r="G38" s="259"/>
      <c r="H38" s="256"/>
      <c r="I38" s="256"/>
      <c r="J38" s="256"/>
      <c r="K38" s="256"/>
      <c r="L38" s="256"/>
      <c r="M38" s="256"/>
      <c r="N38" s="256"/>
      <c r="O38" s="256"/>
      <c r="P38" s="256"/>
    </row>
    <row r="39" spans="1:16">
      <c r="A39" s="3" t="s">
        <v>41</v>
      </c>
      <c r="B39" s="4"/>
      <c r="C39" s="4"/>
      <c r="D39" s="48"/>
      <c r="E39" s="5"/>
      <c r="F39" s="1"/>
      <c r="G39" s="196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8" t="s">
        <v>47</v>
      </c>
      <c r="B40" s="103"/>
      <c r="C40" s="103"/>
      <c r="D40" s="49"/>
      <c r="E40" s="261"/>
      <c r="F40" s="260"/>
      <c r="G40" s="262"/>
      <c r="H40" s="260"/>
      <c r="I40" s="260"/>
      <c r="J40" s="260"/>
      <c r="K40" s="260"/>
      <c r="L40" s="260"/>
      <c r="M40" s="260"/>
      <c r="N40" s="260"/>
      <c r="O40" s="260"/>
      <c r="P40" s="260"/>
    </row>
    <row r="41" spans="1:16" ht="15.75" thickBot="1">
      <c r="A41" s="107" t="s">
        <v>48</v>
      </c>
      <c r="B41" s="104"/>
      <c r="C41" s="104"/>
      <c r="D41" s="45"/>
      <c r="E41" s="251"/>
      <c r="F41" s="254"/>
      <c r="G41" s="257"/>
      <c r="H41" s="254"/>
      <c r="I41" s="254"/>
      <c r="J41" s="254"/>
      <c r="K41" s="254"/>
      <c r="L41" s="254"/>
      <c r="M41" s="254"/>
      <c r="N41" s="254"/>
      <c r="O41" s="254"/>
      <c r="P41" s="254"/>
    </row>
    <row r="42" spans="1:16" ht="16.5" thickBot="1">
      <c r="A42" s="35" t="s">
        <v>49</v>
      </c>
      <c r="B42" s="35"/>
      <c r="C42" s="35"/>
      <c r="D42" s="76">
        <f>D51+D52+D56+D57+D58+D59+D60+D61+D66+D71+D76+D85+D86+D91+D96+D105</f>
        <v>3567642.43</v>
      </c>
      <c r="E42" s="76">
        <f t="shared" ref="E42:P42" si="1">E51+E52+E56+E57+E58+E59+E60+E61+E66+E71+E76+E85+E86+E91+E96+E105</f>
        <v>252770.40000000002</v>
      </c>
      <c r="F42" s="76">
        <f t="shared" si="1"/>
        <v>484678.40000000002</v>
      </c>
      <c r="G42" s="177">
        <f t="shared" si="1"/>
        <v>225174.7</v>
      </c>
      <c r="H42" s="76">
        <f t="shared" si="1"/>
        <v>189930.8</v>
      </c>
      <c r="I42" s="76">
        <f t="shared" si="1"/>
        <v>234507</v>
      </c>
      <c r="J42" s="76">
        <f t="shared" si="1"/>
        <v>296858</v>
      </c>
      <c r="K42" s="76">
        <f t="shared" si="1"/>
        <v>295633.19999999995</v>
      </c>
      <c r="L42" s="76">
        <f t="shared" si="1"/>
        <v>296165.59999999998</v>
      </c>
      <c r="M42" s="76">
        <f t="shared" si="1"/>
        <v>314232.5</v>
      </c>
      <c r="N42" s="76">
        <f t="shared" si="1"/>
        <v>311016.7</v>
      </c>
      <c r="O42" s="76">
        <f t="shared" si="1"/>
        <v>313908.5</v>
      </c>
      <c r="P42" s="76">
        <f t="shared" si="1"/>
        <v>352766.63</v>
      </c>
    </row>
    <row r="43" spans="1:16" ht="15.75">
      <c r="A43" s="32" t="s">
        <v>74</v>
      </c>
      <c r="B43" s="69"/>
      <c r="C43" s="69"/>
      <c r="D43" s="70">
        <f>SUM(E42:P42)</f>
        <v>3567642.43</v>
      </c>
      <c r="E43" s="71"/>
      <c r="F43" s="72"/>
      <c r="G43" s="197"/>
      <c r="H43" s="72"/>
      <c r="I43" s="72"/>
      <c r="J43" s="72"/>
      <c r="K43" s="72"/>
      <c r="L43" s="72"/>
      <c r="M43" s="72"/>
      <c r="N43" s="72"/>
      <c r="O43" s="72"/>
      <c r="P43" s="73"/>
    </row>
    <row r="44" spans="1:16" ht="15.75">
      <c r="A44" s="88"/>
      <c r="B44" s="89"/>
      <c r="C44" s="90">
        <f>D42-D44</f>
        <v>-20474.600000000093</v>
      </c>
      <c r="D44" s="97">
        <f>D45+D49</f>
        <v>3588117.0300000003</v>
      </c>
      <c r="E44" s="91"/>
      <c r="F44" s="92"/>
      <c r="G44" s="195"/>
      <c r="H44" s="92"/>
      <c r="I44" s="92"/>
      <c r="J44" s="92"/>
      <c r="K44" s="92"/>
      <c r="L44" s="92"/>
      <c r="M44" s="92"/>
      <c r="N44" s="92"/>
      <c r="O44" s="92"/>
      <c r="P44" s="93"/>
    </row>
    <row r="45" spans="1:16">
      <c r="A45" s="94" t="s">
        <v>58</v>
      </c>
      <c r="B45" s="94"/>
      <c r="C45" s="94"/>
      <c r="D45" s="95">
        <f>SUM(E45:P45)</f>
        <v>3242486.33</v>
      </c>
      <c r="E45" s="87">
        <f>E51+E53+E54+E56+E57+E58+E59+E60+E62+E63+E67+E68+E72+E73+E77+E78+E85+E87+E88+E92+E93+E97+E98+E81</f>
        <v>164763.79999999999</v>
      </c>
      <c r="F45" s="87">
        <f t="shared" ref="F45:P45" si="2">F51+F53+F54+F56+F57+F58+F59+F60+F62+F63+F67+F68+F72+F73+F77+F78+F85+F87+F88+F92+F93+F97+F98+F81</f>
        <v>233999.1</v>
      </c>
      <c r="G45" s="198">
        <f t="shared" si="2"/>
        <v>228389.7</v>
      </c>
      <c r="H45" s="87">
        <f t="shared" si="2"/>
        <v>191143.2</v>
      </c>
      <c r="I45" s="87">
        <f t="shared" si="2"/>
        <v>235566.5</v>
      </c>
      <c r="J45" s="87">
        <f t="shared" si="2"/>
        <v>298354.5</v>
      </c>
      <c r="K45" s="87">
        <f t="shared" si="2"/>
        <v>296771.90000000002</v>
      </c>
      <c r="L45" s="87">
        <f t="shared" si="2"/>
        <v>297305.3</v>
      </c>
      <c r="M45" s="87">
        <f t="shared" si="2"/>
        <v>315372.2</v>
      </c>
      <c r="N45" s="87">
        <f t="shared" si="2"/>
        <v>312130.59999999998</v>
      </c>
      <c r="O45" s="87">
        <f t="shared" si="2"/>
        <v>315022.40000000002</v>
      </c>
      <c r="P45" s="87">
        <f t="shared" si="2"/>
        <v>353667.13</v>
      </c>
    </row>
    <row r="46" spans="1:16">
      <c r="A46" s="36"/>
      <c r="B46" s="36"/>
      <c r="C46" s="75">
        <f>D45-D46</f>
        <v>208911.12999999989</v>
      </c>
      <c r="D46" s="77">
        <f>D51+D53+D54+D56+D57+D58+D59+D60+D62+D63+D67+D68+D72+D73+D77+D78+D85+D87+D88+D92+D93+D97</f>
        <v>3033575.2</v>
      </c>
      <c r="E46" s="78"/>
      <c r="F46" s="78"/>
      <c r="G46" s="199"/>
      <c r="H46" s="78"/>
      <c r="I46" s="78"/>
      <c r="J46" s="78"/>
      <c r="K46" s="78"/>
      <c r="L46" s="78"/>
      <c r="M46" s="78"/>
      <c r="N46" s="78"/>
      <c r="O46" s="78"/>
      <c r="P46" s="78"/>
    </row>
    <row r="47" spans="1:16" ht="45">
      <c r="A47" s="36"/>
      <c r="B47" s="36"/>
      <c r="C47" s="86" t="s">
        <v>78</v>
      </c>
      <c r="D47" s="85">
        <f>D32-D45</f>
        <v>800005.66999999993</v>
      </c>
      <c r="E47" s="85">
        <f t="shared" ref="E47:P47" si="3">E32-E45</f>
        <v>49851.200000000012</v>
      </c>
      <c r="F47" s="85">
        <f t="shared" si="3"/>
        <v>18834.899999999994</v>
      </c>
      <c r="G47" s="200">
        <f t="shared" si="3"/>
        <v>54904.299999999988</v>
      </c>
      <c r="H47" s="85">
        <f t="shared" si="3"/>
        <v>278979.8</v>
      </c>
      <c r="I47" s="85">
        <f t="shared" si="3"/>
        <v>56067.5</v>
      </c>
      <c r="J47" s="96">
        <f t="shared" si="3"/>
        <v>-10113.5</v>
      </c>
      <c r="K47" s="85">
        <f t="shared" si="3"/>
        <v>156265.09999999998</v>
      </c>
      <c r="L47" s="85">
        <f>L32-L45</f>
        <v>7681.7000000000116</v>
      </c>
      <c r="M47" s="85">
        <f t="shared" si="3"/>
        <v>113.79999999998836</v>
      </c>
      <c r="N47" s="85">
        <f t="shared" si="3"/>
        <v>141025.40000000002</v>
      </c>
      <c r="O47" s="85">
        <f t="shared" si="3"/>
        <v>-21421.400000000023</v>
      </c>
      <c r="P47" s="85">
        <f t="shared" si="3"/>
        <v>67816.87</v>
      </c>
    </row>
    <row r="48" spans="1:16">
      <c r="A48" s="36"/>
      <c r="B48" s="36"/>
      <c r="C48" s="75" t="s">
        <v>77</v>
      </c>
      <c r="D48" s="85">
        <f>ROUND((D47/D32)*100,1)</f>
        <v>19.8</v>
      </c>
      <c r="E48" s="85">
        <f t="shared" ref="E48:P48" si="4">ROUND((E47/E32)*100,1)</f>
        <v>23.2</v>
      </c>
      <c r="F48" s="85">
        <f t="shared" si="4"/>
        <v>7.4</v>
      </c>
      <c r="G48" s="200">
        <f t="shared" si="4"/>
        <v>19.399999999999999</v>
      </c>
      <c r="H48" s="85">
        <f t="shared" si="4"/>
        <v>59.3</v>
      </c>
      <c r="I48" s="85">
        <f t="shared" si="4"/>
        <v>19.2</v>
      </c>
      <c r="J48" s="85">
        <f t="shared" si="4"/>
        <v>-3.5</v>
      </c>
      <c r="K48" s="85">
        <f t="shared" si="4"/>
        <v>34.5</v>
      </c>
      <c r="L48" s="85">
        <f t="shared" si="4"/>
        <v>2.5</v>
      </c>
      <c r="M48" s="85">
        <f t="shared" si="4"/>
        <v>0</v>
      </c>
      <c r="N48" s="85">
        <f t="shared" si="4"/>
        <v>31.1</v>
      </c>
      <c r="O48" s="85">
        <f t="shared" si="4"/>
        <v>-7.3</v>
      </c>
      <c r="P48" s="85">
        <f t="shared" si="4"/>
        <v>16.100000000000001</v>
      </c>
    </row>
    <row r="49" spans="1:21" ht="18.75" customHeight="1">
      <c r="A49" s="36" t="s">
        <v>71</v>
      </c>
      <c r="B49" s="36"/>
      <c r="C49" s="36"/>
      <c r="D49" s="76">
        <f>SUM(E49:P49)</f>
        <v>345630.69999999995</v>
      </c>
      <c r="E49" s="21">
        <f t="shared" ref="E49:P49" si="5">E55+E64+E69+E74+E79+E89+E94+E99</f>
        <v>88535.6</v>
      </c>
      <c r="F49" s="21">
        <f t="shared" si="5"/>
        <v>253129.30000000002</v>
      </c>
      <c r="G49" s="201">
        <f t="shared" si="5"/>
        <v>325</v>
      </c>
      <c r="H49" s="21">
        <f t="shared" si="5"/>
        <v>325</v>
      </c>
      <c r="I49" s="21">
        <f t="shared" si="5"/>
        <v>325</v>
      </c>
      <c r="J49" s="21">
        <f t="shared" si="5"/>
        <v>325</v>
      </c>
      <c r="K49" s="21">
        <f t="shared" si="5"/>
        <v>325.8</v>
      </c>
      <c r="L49" s="21">
        <f t="shared" si="5"/>
        <v>324.8</v>
      </c>
      <c r="M49" s="21">
        <f t="shared" si="5"/>
        <v>324.8</v>
      </c>
      <c r="N49" s="21">
        <f t="shared" si="5"/>
        <v>324.8</v>
      </c>
      <c r="O49" s="21">
        <f t="shared" si="5"/>
        <v>324.8</v>
      </c>
      <c r="P49" s="21">
        <f t="shared" si="5"/>
        <v>1040.8</v>
      </c>
    </row>
    <row r="50" spans="1:21" ht="3.75" customHeight="1">
      <c r="A50" s="36"/>
      <c r="B50" s="36"/>
      <c r="C50" s="75">
        <f>D49-D50</f>
        <v>-1256879.1000000001</v>
      </c>
      <c r="D50" s="21">
        <f>D55+D64+D69+D74+D79+D89+D94+D99</f>
        <v>1602509.8</v>
      </c>
      <c r="E50" s="66"/>
      <c r="F50" s="66"/>
      <c r="G50" s="202"/>
      <c r="H50" s="66"/>
      <c r="I50" s="66"/>
      <c r="J50" s="66"/>
      <c r="K50" s="66"/>
      <c r="L50" s="66"/>
      <c r="M50" s="66"/>
      <c r="N50" s="66"/>
      <c r="O50" s="66"/>
      <c r="P50" s="74"/>
    </row>
    <row r="51" spans="1:21" s="11" customFormat="1" ht="18.75" customHeight="1">
      <c r="A51" s="37" t="s">
        <v>54</v>
      </c>
      <c r="B51" s="37"/>
      <c r="C51" s="37"/>
      <c r="D51" s="213">
        <f>E51+F51+G51+H51+I51+J51+K51+L51+M51+N51+O51+P51</f>
        <v>58126</v>
      </c>
      <c r="E51" s="168">
        <f>1671-1280</f>
        <v>391</v>
      </c>
      <c r="F51" s="10">
        <v>3345</v>
      </c>
      <c r="G51" s="203">
        <f>3700+1280</f>
        <v>4980</v>
      </c>
      <c r="H51" s="10">
        <v>4700</v>
      </c>
      <c r="I51" s="10">
        <v>4700</v>
      </c>
      <c r="J51" s="10">
        <v>4700</v>
      </c>
      <c r="K51" s="10">
        <v>4700</v>
      </c>
      <c r="L51" s="10">
        <f>4700+500</f>
        <v>5200</v>
      </c>
      <c r="M51" s="10">
        <f>4700+500</f>
        <v>5200</v>
      </c>
      <c r="N51" s="10">
        <f>4700+245.3</f>
        <v>4945.3</v>
      </c>
      <c r="O51" s="10">
        <v>7700</v>
      </c>
      <c r="P51" s="10">
        <f>4700+28.6+1947-1650+2539.1</f>
        <v>7564.7000000000007</v>
      </c>
      <c r="Q51" s="22">
        <v>52378</v>
      </c>
      <c r="R51" s="80">
        <v>52378.6</v>
      </c>
      <c r="T51" s="171">
        <v>58126</v>
      </c>
      <c r="U51" s="167">
        <f>T51-D51</f>
        <v>0</v>
      </c>
    </row>
    <row r="52" spans="1:21" s="11" customFormat="1" ht="18.75" customHeight="1">
      <c r="A52" s="37" t="s">
        <v>55</v>
      </c>
      <c r="B52" s="37"/>
      <c r="C52" s="37"/>
      <c r="D52" s="211">
        <f>SUM(D53:D55)</f>
        <v>711001</v>
      </c>
      <c r="E52" s="10">
        <f>SUM(E53:E55)</f>
        <v>34367</v>
      </c>
      <c r="F52" s="10">
        <f>SUM(F53:F55)</f>
        <v>64153.2</v>
      </c>
      <c r="G52" s="203">
        <f t="shared" ref="G52:P52" si="6">SUM(G53:G55)</f>
        <v>65874</v>
      </c>
      <c r="H52" s="10">
        <f t="shared" si="6"/>
        <v>63615</v>
      </c>
      <c r="I52" s="10">
        <f t="shared" si="6"/>
        <v>63615</v>
      </c>
      <c r="J52" s="10">
        <f t="shared" si="6"/>
        <v>61331</v>
      </c>
      <c r="K52" s="10">
        <f t="shared" si="6"/>
        <v>60600</v>
      </c>
      <c r="L52" s="10">
        <f t="shared" si="6"/>
        <v>60600</v>
      </c>
      <c r="M52" s="10">
        <f t="shared" si="6"/>
        <v>60600</v>
      </c>
      <c r="N52" s="10">
        <f t="shared" si="6"/>
        <v>60600</v>
      </c>
      <c r="O52" s="10">
        <f t="shared" si="6"/>
        <v>60600</v>
      </c>
      <c r="P52" s="10">
        <f t="shared" si="6"/>
        <v>55045.799999999996</v>
      </c>
      <c r="Q52" s="23">
        <v>818404.8</v>
      </c>
      <c r="R52" s="80">
        <f>841564.5</f>
        <v>841564.5</v>
      </c>
      <c r="T52" s="171">
        <v>711001</v>
      </c>
      <c r="U52" s="154">
        <f>711001-30120-729</f>
        <v>680152</v>
      </c>
    </row>
    <row r="53" spans="1:21" ht="18.75" customHeight="1">
      <c r="A53" s="36" t="s">
        <v>58</v>
      </c>
      <c r="B53" s="36"/>
      <c r="C53" s="36"/>
      <c r="D53" s="176">
        <f>E53+F53+G53+H53+I53+J53+K53+L53+M53+N53+O53+P53</f>
        <v>428340.8</v>
      </c>
      <c r="E53" s="110">
        <f>12312-1845</f>
        <v>10467</v>
      </c>
      <c r="F53" s="111">
        <f>32000+8014</f>
        <v>40014</v>
      </c>
      <c r="G53" s="204">
        <f>32000+8014+1445+1845-1445</f>
        <v>41859</v>
      </c>
      <c r="H53" s="111">
        <f>37000+2600</f>
        <v>39600</v>
      </c>
      <c r="I53" s="111">
        <f t="shared" ref="I53" si="7">37000+2600</f>
        <v>39600</v>
      </c>
      <c r="J53" s="111">
        <f>37000+2600-2900+655</f>
        <v>37355</v>
      </c>
      <c r="K53" s="111">
        <f t="shared" ref="K53:O53" si="8">37000+2600-2900</f>
        <v>36700</v>
      </c>
      <c r="L53" s="111">
        <f t="shared" si="8"/>
        <v>36700</v>
      </c>
      <c r="M53" s="111">
        <f t="shared" si="8"/>
        <v>36700</v>
      </c>
      <c r="N53" s="111">
        <f t="shared" si="8"/>
        <v>36700</v>
      </c>
      <c r="O53" s="111">
        <f t="shared" si="8"/>
        <v>36700</v>
      </c>
      <c r="P53" s="111">
        <f>58303.1-8014-8014-5674.3-655</f>
        <v>35945.799999999996</v>
      </c>
      <c r="Q53" s="125">
        <v>505132.79999999999</v>
      </c>
      <c r="R53" s="127">
        <f>R52-D54-D55</f>
        <v>558904.30000000005</v>
      </c>
      <c r="S53" s="99">
        <f>559564.5-30120</f>
        <v>529444.5</v>
      </c>
      <c r="T53" s="182">
        <f>T52-D54-D55-30120</f>
        <v>398220.79999999999</v>
      </c>
      <c r="U53" s="175">
        <f>T53-D53</f>
        <v>-30120</v>
      </c>
    </row>
    <row r="54" spans="1:21" ht="18.75" customHeight="1">
      <c r="A54" s="36" t="s">
        <v>59</v>
      </c>
      <c r="B54" s="36"/>
      <c r="C54" s="36"/>
      <c r="D54" s="172">
        <f>E54+F54+G54+H54+I54+J54+K54+L54+M54+N54+O54+P54</f>
        <v>282000</v>
      </c>
      <c r="E54" s="169">
        <v>23900</v>
      </c>
      <c r="F54" s="169">
        <v>23900</v>
      </c>
      <c r="G54" s="205">
        <v>23900</v>
      </c>
      <c r="H54" s="169">
        <v>23900</v>
      </c>
      <c r="I54" s="169">
        <v>23900</v>
      </c>
      <c r="J54" s="169">
        <v>23900</v>
      </c>
      <c r="K54" s="169">
        <v>23900</v>
      </c>
      <c r="L54" s="169">
        <v>23900</v>
      </c>
      <c r="M54" s="169">
        <v>23900</v>
      </c>
      <c r="N54" s="169">
        <v>23900</v>
      </c>
      <c r="O54" s="169">
        <v>23900</v>
      </c>
      <c r="P54" s="169">
        <f>23500-4000-400</f>
        <v>19100</v>
      </c>
      <c r="Q54" s="125">
        <v>282000</v>
      </c>
      <c r="R54" s="113">
        <v>282000</v>
      </c>
      <c r="S54" s="58"/>
      <c r="T54" s="58">
        <v>282000</v>
      </c>
      <c r="U54" s="155"/>
    </row>
    <row r="55" spans="1:21" ht="18.75" customHeight="1">
      <c r="A55" s="36" t="s">
        <v>60</v>
      </c>
      <c r="B55" s="36"/>
      <c r="C55" s="36"/>
      <c r="D55" s="174">
        <f>E55+F55+G55+H55+I55+J55+K55+L55+M55+N55+O55+P55</f>
        <v>660.2</v>
      </c>
      <c r="E55" s="110"/>
      <c r="F55" s="111">
        <v>239.2</v>
      </c>
      <c r="G55" s="204">
        <v>115</v>
      </c>
      <c r="H55" s="111">
        <v>115</v>
      </c>
      <c r="I55" s="111">
        <v>115</v>
      </c>
      <c r="J55" s="111">
        <f>115-39</f>
        <v>76</v>
      </c>
      <c r="K55" s="111"/>
      <c r="L55" s="111"/>
      <c r="M55" s="111"/>
      <c r="N55" s="111"/>
      <c r="O55" s="111"/>
      <c r="P55" s="111"/>
      <c r="Q55" s="125">
        <v>1271.2</v>
      </c>
      <c r="R55" s="117">
        <v>1271.2</v>
      </c>
      <c r="S55" s="58"/>
      <c r="T55" s="173">
        <v>1389.2</v>
      </c>
      <c r="U55" s="155"/>
    </row>
    <row r="56" spans="1:21" s="11" customFormat="1" ht="29.25" customHeight="1">
      <c r="A56" s="61" t="s">
        <v>56</v>
      </c>
      <c r="B56" s="61"/>
      <c r="C56" s="61"/>
      <c r="D56" s="156">
        <f t="shared" ref="D56:D61" si="9">SUM(E56:P56)</f>
        <v>8919.9</v>
      </c>
      <c r="E56" s="168">
        <f>127-59</f>
        <v>68</v>
      </c>
      <c r="F56" s="62">
        <v>508</v>
      </c>
      <c r="G56" s="206">
        <f>508+59+240</f>
        <v>807</v>
      </c>
      <c r="H56" s="119">
        <v>750</v>
      </c>
      <c r="I56" s="119">
        <v>750</v>
      </c>
      <c r="J56" s="119">
        <v>600</v>
      </c>
      <c r="K56" s="119">
        <f>100+750</f>
        <v>850</v>
      </c>
      <c r="L56" s="119">
        <f>300+750</f>
        <v>1050</v>
      </c>
      <c r="M56" s="119">
        <f>500+750-240</f>
        <v>1010</v>
      </c>
      <c r="N56" s="119">
        <f>100+750</f>
        <v>850</v>
      </c>
      <c r="O56" s="119">
        <v>750</v>
      </c>
      <c r="P56" s="119">
        <f>776.9+150</f>
        <v>926.9</v>
      </c>
      <c r="Q56" s="120">
        <v>8330.2000000000007</v>
      </c>
      <c r="R56" s="121">
        <v>24350.2</v>
      </c>
      <c r="T56" s="171">
        <v>8919.9</v>
      </c>
      <c r="U56" s="178">
        <f>T56-D56</f>
        <v>0</v>
      </c>
    </row>
    <row r="57" spans="1:21" s="11" customFormat="1" ht="29.25" customHeight="1">
      <c r="A57" s="61" t="s">
        <v>57</v>
      </c>
      <c r="B57" s="61"/>
      <c r="C57" s="61"/>
      <c r="D57" s="156">
        <f t="shared" si="9"/>
        <v>15869.3</v>
      </c>
      <c r="E57" s="168">
        <f>445-175+18</f>
        <v>288</v>
      </c>
      <c r="F57" s="62">
        <v>850</v>
      </c>
      <c r="G57" s="206">
        <f>1100+175-18+41</f>
        <v>1298</v>
      </c>
      <c r="H57" s="62">
        <v>1100</v>
      </c>
      <c r="I57" s="62">
        <v>1200</v>
      </c>
      <c r="J57" s="119">
        <v>1350</v>
      </c>
      <c r="K57" s="119">
        <v>1300</v>
      </c>
      <c r="L57" s="119">
        <v>1500</v>
      </c>
      <c r="M57" s="119">
        <v>1500</v>
      </c>
      <c r="N57" s="119">
        <v>1500</v>
      </c>
      <c r="O57" s="119">
        <f>1300+652-41</f>
        <v>1911</v>
      </c>
      <c r="P57" s="119">
        <f>1200+376.3-121.5-115.9+1132.5-250+0.9-150</f>
        <v>2072.2999999999997</v>
      </c>
      <c r="Q57" s="120">
        <v>14457.8</v>
      </c>
      <c r="R57" s="121">
        <v>14723.2</v>
      </c>
      <c r="T57" s="171">
        <v>15869.3</v>
      </c>
      <c r="U57" s="178">
        <f>T57-D57</f>
        <v>0</v>
      </c>
    </row>
    <row r="58" spans="1:21" s="11" customFormat="1" ht="29.25" customHeight="1">
      <c r="A58" s="61" t="s">
        <v>80</v>
      </c>
      <c r="B58" s="61"/>
      <c r="C58" s="61"/>
      <c r="D58" s="156">
        <f t="shared" si="9"/>
        <v>108983.7</v>
      </c>
      <c r="E58" s="168">
        <f>2992-38</f>
        <v>2954</v>
      </c>
      <c r="F58" s="119">
        <v>4500</v>
      </c>
      <c r="G58" s="206">
        <f>6500+38+2762</f>
        <v>9300</v>
      </c>
      <c r="H58" s="119">
        <f>8500+2300</f>
        <v>10800</v>
      </c>
      <c r="I58" s="119">
        <f>10000-508.3</f>
        <v>9491.7000000000007</v>
      </c>
      <c r="J58" s="119">
        <f>11000-460+875</f>
        <v>11415</v>
      </c>
      <c r="K58" s="119">
        <f>11000-460</f>
        <v>10540</v>
      </c>
      <c r="L58" s="119">
        <f>11000-460</f>
        <v>10540</v>
      </c>
      <c r="M58" s="119">
        <f>11000-460</f>
        <v>10540</v>
      </c>
      <c r="N58" s="119">
        <f>11000-460-1000</f>
        <v>9540</v>
      </c>
      <c r="O58" s="119">
        <f>11000-460-1300</f>
        <v>9240</v>
      </c>
      <c r="P58" s="119">
        <f>11000-2-875</f>
        <v>10123</v>
      </c>
      <c r="Q58" s="120">
        <v>135575.9</v>
      </c>
      <c r="R58" s="121">
        <v>104533.2</v>
      </c>
      <c r="T58" s="171">
        <v>108983.7</v>
      </c>
      <c r="U58" s="178">
        <f>T58-D58</f>
        <v>0</v>
      </c>
    </row>
    <row r="59" spans="1:21" s="11" customFormat="1" ht="29.25" hidden="1" customHeight="1">
      <c r="A59" s="61"/>
      <c r="B59" s="61"/>
      <c r="C59" s="61"/>
      <c r="D59" s="156"/>
      <c r="E59" s="62"/>
      <c r="F59" s="62"/>
      <c r="G59" s="206"/>
      <c r="H59" s="62"/>
      <c r="I59" s="62"/>
      <c r="J59" s="62"/>
      <c r="K59" s="62"/>
      <c r="L59" s="62"/>
      <c r="M59" s="62"/>
      <c r="N59" s="62"/>
      <c r="O59" s="62"/>
      <c r="P59" s="62"/>
      <c r="Q59" s="23"/>
      <c r="S59" s="79"/>
      <c r="T59" s="165"/>
      <c r="U59" s="154"/>
    </row>
    <row r="60" spans="1:21" s="11" customFormat="1" ht="29.25" customHeight="1">
      <c r="A60" s="61" t="s">
        <v>61</v>
      </c>
      <c r="B60" s="61"/>
      <c r="C60" s="61"/>
      <c r="D60" s="156">
        <f t="shared" si="9"/>
        <v>139595.1</v>
      </c>
      <c r="E60" s="168">
        <f>1220+3200-498</f>
        <v>3922</v>
      </c>
      <c r="F60" s="62">
        <v>7500</v>
      </c>
      <c r="G60" s="206">
        <f>8000+498+4630</f>
        <v>13128</v>
      </c>
      <c r="H60" s="119">
        <f>8000+2551+715</f>
        <v>11266</v>
      </c>
      <c r="I60" s="119">
        <f>8000+2040.8</f>
        <v>10040.799999999999</v>
      </c>
      <c r="J60" s="119">
        <v>8000</v>
      </c>
      <c r="K60" s="119">
        <v>8000</v>
      </c>
      <c r="L60" s="119">
        <v>8000</v>
      </c>
      <c r="M60" s="119">
        <v>8000</v>
      </c>
      <c r="N60" s="119">
        <v>6500</v>
      </c>
      <c r="O60" s="119">
        <v>6500</v>
      </c>
      <c r="P60" s="119">
        <f>58000-7221-2040.7</f>
        <v>48738.3</v>
      </c>
      <c r="Q60" s="23">
        <v>134467.1</v>
      </c>
      <c r="R60" s="11">
        <v>137671.5</v>
      </c>
      <c r="S60" s="11">
        <f>137671.5-50900</f>
        <v>86771.5</v>
      </c>
      <c r="T60" s="171">
        <v>139595.1</v>
      </c>
      <c r="U60" s="178">
        <f>T60-D60</f>
        <v>0</v>
      </c>
    </row>
    <row r="61" spans="1:21" s="11" customFormat="1" ht="29.25" customHeight="1">
      <c r="A61" s="61" t="s">
        <v>62</v>
      </c>
      <c r="B61" s="61"/>
      <c r="C61" s="61"/>
      <c r="D61" s="156">
        <f t="shared" si="9"/>
        <v>32759.100000000002</v>
      </c>
      <c r="E61" s="62">
        <f t="shared" ref="E61:P61" si="10">SUM(E62:E65)</f>
        <v>434</v>
      </c>
      <c r="F61" s="62">
        <f t="shared" si="10"/>
        <v>1536.6</v>
      </c>
      <c r="G61" s="206">
        <f t="shared" si="10"/>
        <v>2681.5</v>
      </c>
      <c r="H61" s="62">
        <f t="shared" si="10"/>
        <v>3440.4</v>
      </c>
      <c r="I61" s="62">
        <f t="shared" si="10"/>
        <v>3013.7000000000003</v>
      </c>
      <c r="J61" s="62">
        <f t="shared" si="10"/>
        <v>3023.7000000000003</v>
      </c>
      <c r="K61" s="62">
        <f t="shared" si="10"/>
        <v>3116.7000000000003</v>
      </c>
      <c r="L61" s="62">
        <f t="shared" si="10"/>
        <v>3042.4</v>
      </c>
      <c r="M61" s="62">
        <f t="shared" si="10"/>
        <v>3151.7</v>
      </c>
      <c r="N61" s="62">
        <f t="shared" si="10"/>
        <v>3177.4999999999995</v>
      </c>
      <c r="O61" s="62">
        <f t="shared" si="10"/>
        <v>3288.5999999999995</v>
      </c>
      <c r="P61" s="62">
        <f t="shared" si="10"/>
        <v>2852.3</v>
      </c>
      <c r="Q61" s="23"/>
      <c r="S61" s="11">
        <v>31066.9</v>
      </c>
      <c r="T61" s="214">
        <v>33723.800000000003</v>
      </c>
      <c r="U61" s="154"/>
    </row>
    <row r="62" spans="1:21" ht="17.25" customHeight="1">
      <c r="A62" s="39" t="s">
        <v>73</v>
      </c>
      <c r="B62" s="39"/>
      <c r="C62" s="39"/>
      <c r="D62" s="212">
        <f>E62+F62+G62+H62+I62+J62+K62+L62+M62+N62+O62+P62</f>
        <v>24148.3</v>
      </c>
      <c r="E62" s="108">
        <f>563-129</f>
        <v>434</v>
      </c>
      <c r="F62" s="6">
        <v>1281.5999999999999</v>
      </c>
      <c r="G62" s="204">
        <f>2200+129</f>
        <v>2329</v>
      </c>
      <c r="H62" s="111">
        <v>2200</v>
      </c>
      <c r="I62" s="111">
        <v>2200</v>
      </c>
      <c r="J62" s="111">
        <v>2200</v>
      </c>
      <c r="K62" s="111">
        <f>2200+74.3</f>
        <v>2274.3000000000002</v>
      </c>
      <c r="L62" s="111">
        <v>2200</v>
      </c>
      <c r="M62" s="111">
        <v>2200</v>
      </c>
      <c r="N62" s="111">
        <v>2200</v>
      </c>
      <c r="O62" s="111">
        <f>2200+111.1</f>
        <v>2311.1</v>
      </c>
      <c r="P62" s="111">
        <f>2000+83+265-30+0.3</f>
        <v>2318.3000000000002</v>
      </c>
      <c r="Q62" s="125">
        <v>21519.9</v>
      </c>
      <c r="R62" s="126">
        <f>32263.1-635-5000</f>
        <v>26628.1</v>
      </c>
      <c r="S62" s="109">
        <f>22964.1-635</f>
        <v>22329.1</v>
      </c>
      <c r="T62" s="181">
        <f>T61-D64-8584.3</f>
        <v>24148.300000000003</v>
      </c>
      <c r="U62" s="175">
        <f>T62-D62</f>
        <v>0</v>
      </c>
    </row>
    <row r="63" spans="1:21" ht="17.25" customHeight="1">
      <c r="A63" s="39"/>
      <c r="B63" s="60">
        <f>SUM(E63:P63)</f>
        <v>5850.9000000000005</v>
      </c>
      <c r="C63" s="60">
        <f>B63-D63</f>
        <v>-1050</v>
      </c>
      <c r="D63" s="68">
        <f>8669.6-D65</f>
        <v>6900.9000000000005</v>
      </c>
      <c r="E63" s="59"/>
      <c r="F63" s="130">
        <v>150</v>
      </c>
      <c r="G63" s="207">
        <v>300</v>
      </c>
      <c r="H63" s="59">
        <v>1000</v>
      </c>
      <c r="I63" s="59">
        <v>573.29999999999995</v>
      </c>
      <c r="J63" s="59">
        <v>573.29999999999995</v>
      </c>
      <c r="K63" s="59">
        <v>573.29999999999995</v>
      </c>
      <c r="L63" s="59">
        <v>573.29999999999995</v>
      </c>
      <c r="M63" s="59">
        <v>682.6</v>
      </c>
      <c r="N63" s="59">
        <v>682.6</v>
      </c>
      <c r="O63" s="59">
        <v>682.6</v>
      </c>
      <c r="P63" s="59">
        <v>59.9</v>
      </c>
      <c r="Q63" s="5"/>
      <c r="R63" s="81"/>
      <c r="T63" s="165"/>
      <c r="U63" s="155"/>
    </row>
    <row r="64" spans="1:21" ht="27" customHeight="1">
      <c r="A64" s="39" t="s">
        <v>71</v>
      </c>
      <c r="B64" s="39"/>
      <c r="C64" s="39"/>
      <c r="D64" s="68">
        <f>E64+F64+G64+H64+I64+J64+K64+L64+M64+N64+O64+P64</f>
        <v>991.2</v>
      </c>
      <c r="E64" s="110"/>
      <c r="F64" s="111">
        <v>105</v>
      </c>
      <c r="G64" s="204">
        <v>52.5</v>
      </c>
      <c r="H64" s="111">
        <v>52.5</v>
      </c>
      <c r="I64" s="111">
        <v>52.5</v>
      </c>
      <c r="J64" s="111">
        <f>52.5+10</f>
        <v>62.5</v>
      </c>
      <c r="K64" s="111">
        <v>81.2</v>
      </c>
      <c r="L64" s="111">
        <v>81.2</v>
      </c>
      <c r="M64" s="111">
        <v>81.2</v>
      </c>
      <c r="N64" s="111">
        <v>81.2</v>
      </c>
      <c r="O64" s="111">
        <v>81.2</v>
      </c>
      <c r="P64" s="111">
        <f>81.2+179</f>
        <v>260.2</v>
      </c>
      <c r="Q64" s="125">
        <v>635</v>
      </c>
      <c r="R64" s="113">
        <v>635</v>
      </c>
      <c r="S64" s="58"/>
      <c r="T64" s="173">
        <f>630+182.5+179</f>
        <v>991.5</v>
      </c>
      <c r="U64" s="155"/>
    </row>
    <row r="65" spans="1:21" ht="21.75" customHeight="1">
      <c r="A65" s="39"/>
      <c r="B65" s="60">
        <f>SUM(E65:P65)</f>
        <v>1768.7000000000003</v>
      </c>
      <c r="C65" s="60">
        <f>B65-D65</f>
        <v>0</v>
      </c>
      <c r="D65" s="68">
        <v>1768.7</v>
      </c>
      <c r="E65" s="66"/>
      <c r="F65" s="66"/>
      <c r="G65" s="205"/>
      <c r="H65" s="108">
        <v>187.9</v>
      </c>
      <c r="I65" s="108">
        <v>187.9</v>
      </c>
      <c r="J65" s="108">
        <v>187.9</v>
      </c>
      <c r="K65" s="108">
        <v>187.9</v>
      </c>
      <c r="L65" s="108">
        <v>187.9</v>
      </c>
      <c r="M65" s="108">
        <v>187.9</v>
      </c>
      <c r="N65" s="108">
        <v>213.7</v>
      </c>
      <c r="O65" s="108">
        <v>213.7</v>
      </c>
      <c r="P65" s="108">
        <v>213.9</v>
      </c>
      <c r="Q65" s="5"/>
      <c r="T65" s="83"/>
      <c r="U65" s="155"/>
    </row>
    <row r="66" spans="1:21" s="11" customFormat="1" ht="29.25" customHeight="1">
      <c r="A66" s="61" t="s">
        <v>63</v>
      </c>
      <c r="B66" s="61"/>
      <c r="C66" s="61"/>
      <c r="D66" s="156">
        <f>SUM(E66:P66)</f>
        <v>34058.199999999997</v>
      </c>
      <c r="E66" s="62">
        <f t="shared" ref="E66:P66" si="11">SUM(E67:E70)</f>
        <v>696</v>
      </c>
      <c r="F66" s="62">
        <f t="shared" si="11"/>
        <v>1469.2</v>
      </c>
      <c r="G66" s="206">
        <f t="shared" si="11"/>
        <v>2805.7</v>
      </c>
      <c r="H66" s="62">
        <f t="shared" si="11"/>
        <v>3565.9</v>
      </c>
      <c r="I66" s="62">
        <f t="shared" si="11"/>
        <v>2821.6000000000004</v>
      </c>
      <c r="J66" s="62">
        <f t="shared" si="11"/>
        <v>3081.6000000000004</v>
      </c>
      <c r="K66" s="62">
        <f t="shared" si="11"/>
        <v>3193.1</v>
      </c>
      <c r="L66" s="62">
        <f t="shared" si="11"/>
        <v>2850.3</v>
      </c>
      <c r="M66" s="62">
        <f t="shared" si="11"/>
        <v>3236.2</v>
      </c>
      <c r="N66" s="62">
        <f t="shared" si="11"/>
        <v>3126.3</v>
      </c>
      <c r="O66" s="62">
        <f t="shared" si="11"/>
        <v>3126.3</v>
      </c>
      <c r="P66" s="62">
        <f t="shared" si="11"/>
        <v>4085.9999999999991</v>
      </c>
      <c r="Q66" s="23"/>
      <c r="R66" s="11">
        <v>33822.5</v>
      </c>
      <c r="S66" s="11">
        <v>31482.1</v>
      </c>
      <c r="T66" s="171">
        <v>34681.5</v>
      </c>
      <c r="U66" s="154"/>
    </row>
    <row r="67" spans="1:21" ht="15.75" customHeight="1">
      <c r="A67" s="39" t="s">
        <v>73</v>
      </c>
      <c r="B67" s="39"/>
      <c r="C67" s="39"/>
      <c r="D67" s="68">
        <f>E67+F67+G67+H67+I67+J67+K67+L67+M67+N67+O67+P67</f>
        <v>24519</v>
      </c>
      <c r="E67" s="108">
        <f>551-55</f>
        <v>496</v>
      </c>
      <c r="F67" s="6">
        <v>1312.2</v>
      </c>
      <c r="G67" s="204">
        <f>2424+55</f>
        <v>2479</v>
      </c>
      <c r="H67" s="6">
        <v>2049</v>
      </c>
      <c r="I67" s="6">
        <f>2424-375</f>
        <v>2049</v>
      </c>
      <c r="J67" s="6">
        <v>2300</v>
      </c>
      <c r="K67" s="6">
        <f>2424-375+174.6+43.2+124</f>
        <v>2390.7999999999997</v>
      </c>
      <c r="L67" s="6">
        <f>2424-375</f>
        <v>2049</v>
      </c>
      <c r="M67" s="6">
        <f>2424-375+260.9</f>
        <v>2309.9</v>
      </c>
      <c r="N67" s="6">
        <v>2200</v>
      </c>
      <c r="O67" s="6">
        <v>2200</v>
      </c>
      <c r="P67" s="112">
        <f>2425.2-377.9-260.9+200+486.2-633.7+845.2</f>
        <v>2684.0999999999995</v>
      </c>
      <c r="Q67" s="125">
        <v>22762</v>
      </c>
      <c r="R67" s="117">
        <f>33510.6-635-6050</f>
        <v>26825.599999999999</v>
      </c>
      <c r="S67" s="109">
        <f>24730.7-635</f>
        <v>24095.7</v>
      </c>
      <c r="T67" s="181">
        <f>T66-D69-9171.3</f>
        <v>24519.000000000004</v>
      </c>
      <c r="U67" s="180">
        <f>T67-D67</f>
        <v>0</v>
      </c>
    </row>
    <row r="68" spans="1:21" ht="15.75" customHeight="1">
      <c r="A68" s="39"/>
      <c r="B68" s="60">
        <f>SUM(E68:P68)</f>
        <v>6244.9000000000015</v>
      </c>
      <c r="C68" s="60">
        <f>B68-D68</f>
        <v>-613.79999999999745</v>
      </c>
      <c r="D68" s="68">
        <f>9161.8-D70</f>
        <v>6858.6999999999989</v>
      </c>
      <c r="E68" s="130">
        <v>200</v>
      </c>
      <c r="F68" s="130">
        <v>52</v>
      </c>
      <c r="G68" s="207">
        <v>274.2</v>
      </c>
      <c r="H68" s="59">
        <v>1300</v>
      </c>
      <c r="I68" s="59">
        <v>452.8</v>
      </c>
      <c r="J68" s="59">
        <v>452.8</v>
      </c>
      <c r="K68" s="59">
        <v>452.8</v>
      </c>
      <c r="L68" s="59">
        <v>452.8</v>
      </c>
      <c r="M68" s="59">
        <v>577.79999999999995</v>
      </c>
      <c r="N68" s="59">
        <v>577.79999999999995</v>
      </c>
      <c r="O68" s="59">
        <v>577.79999999999995</v>
      </c>
      <c r="P68" s="59">
        <v>874.1</v>
      </c>
      <c r="Q68" s="5"/>
      <c r="S68" s="82"/>
      <c r="T68" s="83"/>
      <c r="U68" s="155"/>
    </row>
    <row r="69" spans="1:21" ht="18.75" customHeight="1">
      <c r="A69" s="39" t="s">
        <v>71</v>
      </c>
      <c r="B69" s="39"/>
      <c r="C69" s="39"/>
      <c r="D69" s="174">
        <f>E69+F69+G69+H69+I69+J69+K69+L69+M69+N69+O69+P69</f>
        <v>991.2</v>
      </c>
      <c r="E69" s="110"/>
      <c r="F69" s="111">
        <v>105</v>
      </c>
      <c r="G69" s="204">
        <v>52.5</v>
      </c>
      <c r="H69" s="111">
        <v>52.5</v>
      </c>
      <c r="I69" s="111">
        <v>52.5</v>
      </c>
      <c r="J69" s="111">
        <f>52.5+9</f>
        <v>61.5</v>
      </c>
      <c r="K69" s="111">
        <v>82.2</v>
      </c>
      <c r="L69" s="111">
        <v>81.2</v>
      </c>
      <c r="M69" s="111">
        <v>81.2</v>
      </c>
      <c r="N69" s="111">
        <v>81.2</v>
      </c>
      <c r="O69" s="111">
        <v>81.2</v>
      </c>
      <c r="P69" s="111">
        <f>81.2+179</f>
        <v>260.2</v>
      </c>
      <c r="Q69" s="125">
        <v>635</v>
      </c>
      <c r="R69" s="113">
        <v>635</v>
      </c>
      <c r="S69" s="58"/>
      <c r="T69" s="173">
        <f>630+182.5+179</f>
        <v>991.5</v>
      </c>
      <c r="U69" s="155"/>
    </row>
    <row r="70" spans="1:21" ht="18.75" customHeight="1">
      <c r="A70" s="39"/>
      <c r="B70" s="60">
        <f>SUM(E70:P70)</f>
        <v>2303.1</v>
      </c>
      <c r="C70" s="60">
        <f>B70-D70</f>
        <v>0</v>
      </c>
      <c r="D70" s="68">
        <v>2303.1</v>
      </c>
      <c r="E70" s="108"/>
      <c r="F70" s="6"/>
      <c r="G70" s="204"/>
      <c r="H70" s="6">
        <v>164.4</v>
      </c>
      <c r="I70" s="6">
        <v>267.3</v>
      </c>
      <c r="J70" s="6">
        <v>267.3</v>
      </c>
      <c r="K70" s="6">
        <v>267.3</v>
      </c>
      <c r="L70" s="6">
        <v>267.3</v>
      </c>
      <c r="M70" s="6">
        <v>267.3</v>
      </c>
      <c r="N70" s="6">
        <v>267.3</v>
      </c>
      <c r="O70" s="6">
        <v>267.3</v>
      </c>
      <c r="P70" s="6">
        <v>267.60000000000002</v>
      </c>
      <c r="Q70" s="5"/>
      <c r="T70" s="83"/>
      <c r="U70" s="155"/>
    </row>
    <row r="71" spans="1:21" s="11" customFormat="1" ht="29.25" customHeight="1">
      <c r="A71" s="61" t="s">
        <v>64</v>
      </c>
      <c r="B71" s="61"/>
      <c r="C71" s="61"/>
      <c r="D71" s="156">
        <f>SUM(E71:P71)</f>
        <v>30446.3</v>
      </c>
      <c r="E71" s="62">
        <f>SUM(E72:E75)</f>
        <v>577</v>
      </c>
      <c r="F71" s="62">
        <f>SUM(F72:F75)</f>
        <v>1565</v>
      </c>
      <c r="G71" s="206">
        <f t="shared" ref="G71:P71" si="12">SUM(G72:G75)</f>
        <v>2491.5</v>
      </c>
      <c r="H71" s="62">
        <f t="shared" si="12"/>
        <v>2849.8</v>
      </c>
      <c r="I71" s="62">
        <f t="shared" si="12"/>
        <v>2882.8</v>
      </c>
      <c r="J71" s="62">
        <f t="shared" si="12"/>
        <v>2692.8</v>
      </c>
      <c r="K71" s="62">
        <f t="shared" si="12"/>
        <v>2928.5</v>
      </c>
      <c r="L71" s="62">
        <f t="shared" si="12"/>
        <v>2928.5</v>
      </c>
      <c r="M71" s="62">
        <f t="shared" si="12"/>
        <v>2928.5</v>
      </c>
      <c r="N71" s="62">
        <f t="shared" si="12"/>
        <v>2911.5</v>
      </c>
      <c r="O71" s="62">
        <f t="shared" si="12"/>
        <v>2926.5</v>
      </c>
      <c r="P71" s="62">
        <f t="shared" si="12"/>
        <v>2763.8999999999992</v>
      </c>
      <c r="Q71" s="23"/>
      <c r="R71" s="11">
        <v>37864.199999999997</v>
      </c>
      <c r="S71" s="11">
        <v>35470.800000000003</v>
      </c>
      <c r="T71" s="171">
        <v>34801.599999999999</v>
      </c>
      <c r="U71" s="154"/>
    </row>
    <row r="72" spans="1:21" ht="25.5" customHeight="1">
      <c r="A72" s="39" t="s">
        <v>73</v>
      </c>
      <c r="B72" s="39"/>
      <c r="C72" s="39"/>
      <c r="D72" s="68">
        <f>E72+F72+G72+H72+I72+J72+K72+L72+M72+N72+O72+P72</f>
        <v>26072.1</v>
      </c>
      <c r="E72" s="110">
        <f>516-39</f>
        <v>477</v>
      </c>
      <c r="F72" s="111">
        <v>1200</v>
      </c>
      <c r="G72" s="204">
        <f>2300+39</f>
        <v>2339</v>
      </c>
      <c r="H72" s="111">
        <v>2517</v>
      </c>
      <c r="I72" s="111">
        <v>2500</v>
      </c>
      <c r="J72" s="111">
        <v>2300</v>
      </c>
      <c r="K72" s="111">
        <v>2517</v>
      </c>
      <c r="L72" s="111">
        <v>2517</v>
      </c>
      <c r="M72" s="111">
        <v>2517</v>
      </c>
      <c r="N72" s="111">
        <v>2500</v>
      </c>
      <c r="O72" s="111">
        <v>2515</v>
      </c>
      <c r="P72" s="124">
        <f>2537-346.8+122+1.6-207.4-437.2+231.3+4.2+268.4</f>
        <v>2173.0999999999995</v>
      </c>
      <c r="Q72" s="125">
        <v>21951.7</v>
      </c>
      <c r="R72" s="117">
        <f>34022.5-635-6024</f>
        <v>27363.5</v>
      </c>
      <c r="T72" s="181">
        <f>T71-D74-7738.3</f>
        <v>26072.100000000002</v>
      </c>
      <c r="U72" s="180">
        <f>T72-D72</f>
        <v>0</v>
      </c>
    </row>
    <row r="73" spans="1:21" ht="25.5" customHeight="1">
      <c r="A73" s="39"/>
      <c r="B73" s="60">
        <f>SUM(E73:P73)</f>
        <v>460</v>
      </c>
      <c r="C73" s="60">
        <f>B73-D73</f>
        <v>-8873</v>
      </c>
      <c r="D73" s="68">
        <f>12256-D75</f>
        <v>9333</v>
      </c>
      <c r="E73" s="128">
        <v>100</v>
      </c>
      <c r="F73" s="129">
        <v>260</v>
      </c>
      <c r="G73" s="208">
        <v>100</v>
      </c>
      <c r="H73" s="67"/>
      <c r="I73" s="67"/>
      <c r="J73" s="67"/>
      <c r="K73" s="67"/>
      <c r="L73" s="67"/>
      <c r="M73" s="67"/>
      <c r="N73" s="67"/>
      <c r="O73" s="67"/>
      <c r="P73" s="67"/>
      <c r="Q73" s="5"/>
      <c r="T73" s="83"/>
      <c r="U73" s="155"/>
    </row>
    <row r="74" spans="1:21" ht="21" customHeight="1">
      <c r="A74" s="39" t="s">
        <v>71</v>
      </c>
      <c r="B74" s="39"/>
      <c r="C74" s="39"/>
      <c r="D74" s="68">
        <f>E74+F74+G74+H74+I74+J74+K74+L74+M74+N74+O74+P74</f>
        <v>991.2</v>
      </c>
      <c r="E74" s="110"/>
      <c r="F74" s="111">
        <v>105</v>
      </c>
      <c r="G74" s="204">
        <v>52.5</v>
      </c>
      <c r="H74" s="111">
        <v>52.5</v>
      </c>
      <c r="I74" s="111">
        <v>52.5</v>
      </c>
      <c r="J74" s="111">
        <f>52.5+10</f>
        <v>62.5</v>
      </c>
      <c r="K74" s="111">
        <v>81.2</v>
      </c>
      <c r="L74" s="111">
        <v>81.2</v>
      </c>
      <c r="M74" s="111">
        <v>81.2</v>
      </c>
      <c r="N74" s="111">
        <v>81.2</v>
      </c>
      <c r="O74" s="111">
        <v>81.2</v>
      </c>
      <c r="P74" s="111">
        <f>81.2+179</f>
        <v>260.2</v>
      </c>
      <c r="Q74" s="5">
        <v>635</v>
      </c>
      <c r="R74" s="113">
        <v>635</v>
      </c>
      <c r="S74" s="58"/>
      <c r="T74" s="173">
        <f>630+182.5+179</f>
        <v>991.5</v>
      </c>
      <c r="U74" s="155"/>
    </row>
    <row r="75" spans="1:21" ht="21" customHeight="1">
      <c r="A75" s="39"/>
      <c r="B75" s="60">
        <f>SUM(E75:P75)</f>
        <v>2923</v>
      </c>
      <c r="C75" s="60">
        <f>B75-D75</f>
        <v>0</v>
      </c>
      <c r="D75" s="68">
        <v>2923</v>
      </c>
      <c r="E75" s="108"/>
      <c r="F75" s="6"/>
      <c r="G75" s="204"/>
      <c r="H75" s="6">
        <v>280.3</v>
      </c>
      <c r="I75" s="6">
        <v>330.3</v>
      </c>
      <c r="J75" s="6">
        <v>330.3</v>
      </c>
      <c r="K75" s="6">
        <v>330.3</v>
      </c>
      <c r="L75" s="6">
        <v>330.3</v>
      </c>
      <c r="M75" s="6">
        <v>330.3</v>
      </c>
      <c r="N75" s="6">
        <v>330.3</v>
      </c>
      <c r="O75" s="6">
        <v>330.3</v>
      </c>
      <c r="P75" s="6">
        <v>330.6</v>
      </c>
      <c r="Q75" s="5"/>
      <c r="T75" s="83"/>
      <c r="U75" s="155"/>
    </row>
    <row r="76" spans="1:21" s="11" customFormat="1" ht="29.25" customHeight="1">
      <c r="A76" s="61" t="s">
        <v>65</v>
      </c>
      <c r="B76" s="61"/>
      <c r="C76" s="61"/>
      <c r="D76" s="156">
        <f>SUM(E76:P76)</f>
        <v>25407.3</v>
      </c>
      <c r="E76" s="62">
        <f>SUM(E77:E80)</f>
        <v>917</v>
      </c>
      <c r="F76" s="62">
        <f>SUM(F77:F80)</f>
        <v>1340.4</v>
      </c>
      <c r="G76" s="206">
        <f t="shared" ref="G76:P76" si="13">SUM(G77:G80)</f>
        <v>3741.5</v>
      </c>
      <c r="H76" s="62">
        <f t="shared" si="13"/>
        <v>2052.5</v>
      </c>
      <c r="I76" s="62">
        <f t="shared" si="13"/>
        <v>2052.5</v>
      </c>
      <c r="J76" s="62">
        <f t="shared" si="13"/>
        <v>2062.5</v>
      </c>
      <c r="K76" s="62">
        <f t="shared" si="13"/>
        <v>2235.5</v>
      </c>
      <c r="L76" s="62">
        <f t="shared" si="13"/>
        <v>2281.1999999999998</v>
      </c>
      <c r="M76" s="62">
        <f t="shared" si="13"/>
        <v>2281.1999999999998</v>
      </c>
      <c r="N76" s="62">
        <f t="shared" si="13"/>
        <v>2081.1999999999998</v>
      </c>
      <c r="O76" s="62">
        <f t="shared" si="13"/>
        <v>2081.1999999999998</v>
      </c>
      <c r="P76" s="62">
        <f t="shared" si="13"/>
        <v>2280.6</v>
      </c>
      <c r="Q76" s="23"/>
      <c r="T76" s="171">
        <v>31483</v>
      </c>
      <c r="U76" s="154"/>
    </row>
    <row r="77" spans="1:21" ht="22.5" customHeight="1">
      <c r="A77" s="39" t="s">
        <v>73</v>
      </c>
      <c r="B77" s="39"/>
      <c r="C77" s="101"/>
      <c r="D77" s="68">
        <f>E77+F77+G77+H77+I77+J77+K77+L77+M77+N77+O77+P77</f>
        <v>22269.100000000002</v>
      </c>
      <c r="E77" s="110">
        <f>459-42</f>
        <v>417</v>
      </c>
      <c r="F77" s="111">
        <v>1235.4000000000001</v>
      </c>
      <c r="G77" s="204">
        <f>2000+42</f>
        <v>2042</v>
      </c>
      <c r="H77" s="111">
        <v>2000</v>
      </c>
      <c r="I77" s="111">
        <v>2000</v>
      </c>
      <c r="J77" s="111">
        <v>2000</v>
      </c>
      <c r="K77" s="111">
        <f>2200-45.7</f>
        <v>2154.3000000000002</v>
      </c>
      <c r="L77" s="111">
        <v>2200</v>
      </c>
      <c r="M77" s="111">
        <v>2200</v>
      </c>
      <c r="N77" s="111">
        <v>2000</v>
      </c>
      <c r="O77" s="111">
        <v>2000</v>
      </c>
      <c r="P77" s="111">
        <f>2200-179.6</f>
        <v>2020.4</v>
      </c>
      <c r="Q77" s="125">
        <v>20266.400000000001</v>
      </c>
      <c r="R77" s="117">
        <f>30996.3-635-5500</f>
        <v>24861.3</v>
      </c>
      <c r="T77" s="182">
        <f>T76-D79-8222.7</f>
        <v>22269.1</v>
      </c>
      <c r="U77" s="180">
        <f>T77-D77</f>
        <v>0</v>
      </c>
    </row>
    <row r="78" spans="1:21" ht="22.5" customHeight="1">
      <c r="A78" s="39"/>
      <c r="B78" s="60">
        <f>SUM(E78:P78)</f>
        <v>2147</v>
      </c>
      <c r="C78" s="60">
        <f>B78-D78</f>
        <v>2147</v>
      </c>
      <c r="D78" s="68"/>
      <c r="E78" s="128">
        <v>500</v>
      </c>
      <c r="F78" s="67"/>
      <c r="G78" s="208">
        <v>1647</v>
      </c>
      <c r="H78" s="67"/>
      <c r="I78" s="67"/>
      <c r="J78" s="67"/>
      <c r="K78" s="67"/>
      <c r="L78" s="67"/>
      <c r="M78" s="67"/>
      <c r="N78" s="67"/>
      <c r="O78" s="67"/>
      <c r="P78" s="67"/>
      <c r="Q78" s="5"/>
      <c r="T78" s="83"/>
      <c r="U78" s="155"/>
    </row>
    <row r="79" spans="1:21" ht="21.75" customHeight="1">
      <c r="A79" s="39" t="s">
        <v>71</v>
      </c>
      <c r="B79" s="39"/>
      <c r="C79" s="39"/>
      <c r="D79" s="68">
        <f>E79+F79+G79+H79+I79+J79+K79+L79+M79+N79+O79+P79</f>
        <v>991.2</v>
      </c>
      <c r="E79" s="110"/>
      <c r="F79" s="111">
        <v>105</v>
      </c>
      <c r="G79" s="204">
        <v>52.5</v>
      </c>
      <c r="H79" s="111">
        <v>52.5</v>
      </c>
      <c r="I79" s="111">
        <v>52.5</v>
      </c>
      <c r="J79" s="111">
        <f>52.5+10</f>
        <v>62.5</v>
      </c>
      <c r="K79" s="111">
        <v>81.2</v>
      </c>
      <c r="L79" s="111">
        <v>81.2</v>
      </c>
      <c r="M79" s="111">
        <v>81.2</v>
      </c>
      <c r="N79" s="111">
        <v>81.2</v>
      </c>
      <c r="O79" s="111">
        <v>81.2</v>
      </c>
      <c r="P79" s="111">
        <f>81.2+179</f>
        <v>260.2</v>
      </c>
      <c r="Q79" s="5">
        <v>635</v>
      </c>
      <c r="R79" s="113">
        <v>635</v>
      </c>
      <c r="S79" s="58">
        <v>635</v>
      </c>
      <c r="T79" s="173">
        <f>630+182.5+179</f>
        <v>991.5</v>
      </c>
      <c r="U79" s="155"/>
    </row>
    <row r="80" spans="1:21" ht="21.75" customHeight="1">
      <c r="A80" s="39"/>
      <c r="B80" s="60">
        <f>SUM(E80:P80)</f>
        <v>0</v>
      </c>
      <c r="C80" s="60">
        <f>B80-D80</f>
        <v>0</v>
      </c>
      <c r="D80" s="68"/>
      <c r="E80" s="108"/>
      <c r="F80" s="108"/>
      <c r="G80" s="205"/>
      <c r="H80" s="108"/>
      <c r="I80" s="108"/>
      <c r="J80" s="108"/>
      <c r="K80" s="108"/>
      <c r="L80" s="108"/>
      <c r="M80" s="108"/>
      <c r="N80" s="108"/>
      <c r="O80" s="108"/>
      <c r="P80" s="108"/>
      <c r="Q80" s="5"/>
      <c r="S80" s="58"/>
      <c r="T80" s="83"/>
      <c r="U80" s="155"/>
    </row>
    <row r="81" spans="1:21" s="11" customFormat="1" ht="29.25" customHeight="1">
      <c r="A81" s="61" t="s">
        <v>66</v>
      </c>
      <c r="B81" s="61"/>
      <c r="C81" s="61"/>
      <c r="D81" s="157">
        <f t="shared" ref="D81:D86" si="14">SUM(E81:P81)</f>
        <v>31999.4</v>
      </c>
      <c r="E81" s="62">
        <f>E82+E83+E84</f>
        <v>619</v>
      </c>
      <c r="F81" s="62">
        <f t="shared" ref="F81:P81" si="15">F82+F83+F84</f>
        <v>2600</v>
      </c>
      <c r="G81" s="206">
        <f t="shared" si="15"/>
        <v>3970</v>
      </c>
      <c r="H81" s="62">
        <f t="shared" si="15"/>
        <v>2650</v>
      </c>
      <c r="I81" s="62">
        <f t="shared" si="15"/>
        <v>2650</v>
      </c>
      <c r="J81" s="62">
        <f t="shared" si="15"/>
        <v>3007</v>
      </c>
      <c r="K81" s="62">
        <f t="shared" si="15"/>
        <v>2650</v>
      </c>
      <c r="L81" s="62">
        <f t="shared" si="15"/>
        <v>2650</v>
      </c>
      <c r="M81" s="62">
        <f t="shared" si="15"/>
        <v>2650</v>
      </c>
      <c r="N81" s="62">
        <f t="shared" si="15"/>
        <v>2650</v>
      </c>
      <c r="O81" s="62">
        <f t="shared" si="15"/>
        <v>2650</v>
      </c>
      <c r="P81" s="62">
        <f t="shared" si="15"/>
        <v>3253.4</v>
      </c>
      <c r="Q81" s="23">
        <v>41414.699999999997</v>
      </c>
      <c r="T81" s="171">
        <f>31843.6+317.6</f>
        <v>32161.199999999997</v>
      </c>
      <c r="U81" s="179">
        <f>T81-D81</f>
        <v>161.79999999999563</v>
      </c>
    </row>
    <row r="82" spans="1:21" s="11" customFormat="1" ht="22.5" customHeight="1">
      <c r="A82" s="101" t="s">
        <v>73</v>
      </c>
      <c r="B82" s="118"/>
      <c r="C82" s="118"/>
      <c r="D82" s="157">
        <f t="shared" si="14"/>
        <v>31843.599999999999</v>
      </c>
      <c r="E82" s="168">
        <f>629-10</f>
        <v>619</v>
      </c>
      <c r="F82" s="122">
        <v>2600</v>
      </c>
      <c r="G82" s="203">
        <f>2600+10+1360</f>
        <v>3970</v>
      </c>
      <c r="H82" s="122">
        <f>2800-150</f>
        <v>2650</v>
      </c>
      <c r="I82" s="122">
        <f t="shared" ref="I82:O82" si="16">2800-150</f>
        <v>2650</v>
      </c>
      <c r="J82" s="122">
        <f>2800-150+357</f>
        <v>3007</v>
      </c>
      <c r="K82" s="122">
        <f t="shared" si="16"/>
        <v>2650</v>
      </c>
      <c r="L82" s="122">
        <f t="shared" si="16"/>
        <v>2650</v>
      </c>
      <c r="M82" s="122">
        <f t="shared" si="16"/>
        <v>2650</v>
      </c>
      <c r="N82" s="122">
        <f t="shared" si="16"/>
        <v>2650</v>
      </c>
      <c r="O82" s="122">
        <f t="shared" si="16"/>
        <v>2650</v>
      </c>
      <c r="P82" s="122">
        <f>3614.6-160-357</f>
        <v>3097.6</v>
      </c>
      <c r="Q82" s="120"/>
      <c r="R82" s="123">
        <v>35734.800000000003</v>
      </c>
      <c r="T82" s="166"/>
      <c r="U82" s="154"/>
    </row>
    <row r="83" spans="1:21" s="11" customFormat="1" ht="22.5" customHeight="1">
      <c r="A83" s="101" t="s">
        <v>71</v>
      </c>
      <c r="B83" s="38"/>
      <c r="C83" s="38"/>
      <c r="D83" s="157">
        <f t="shared" si="14"/>
        <v>155.80000000000001</v>
      </c>
      <c r="E83" s="24"/>
      <c r="F83" s="24"/>
      <c r="G83" s="206"/>
      <c r="H83" s="24"/>
      <c r="I83" s="24"/>
      <c r="J83" s="24"/>
      <c r="K83" s="24"/>
      <c r="L83" s="24"/>
      <c r="M83" s="24"/>
      <c r="N83" s="24"/>
      <c r="O83" s="24"/>
      <c r="P83" s="24">
        <v>155.80000000000001</v>
      </c>
      <c r="Q83" s="23"/>
      <c r="S83" s="11">
        <v>3580.1</v>
      </c>
      <c r="T83" s="165"/>
      <c r="U83" s="154"/>
    </row>
    <row r="84" spans="1:21" s="11" customFormat="1" ht="22.5" customHeight="1">
      <c r="A84" s="101" t="s">
        <v>79</v>
      </c>
      <c r="B84" s="38"/>
      <c r="C84" s="38"/>
      <c r="D84" s="157">
        <f t="shared" si="14"/>
        <v>0</v>
      </c>
      <c r="E84" s="24"/>
      <c r="F84" s="24"/>
      <c r="G84" s="206"/>
      <c r="H84" s="24"/>
      <c r="I84" s="24"/>
      <c r="J84" s="24"/>
      <c r="K84" s="24"/>
      <c r="L84" s="24"/>
      <c r="M84" s="24"/>
      <c r="N84" s="24"/>
      <c r="O84" s="24"/>
      <c r="P84" s="24"/>
      <c r="Q84" s="23"/>
      <c r="S84" s="11">
        <v>3044.8</v>
      </c>
      <c r="T84" s="165"/>
      <c r="U84" s="154"/>
    </row>
    <row r="85" spans="1:21" s="11" customFormat="1" ht="60">
      <c r="A85" s="118" t="s">
        <v>67</v>
      </c>
      <c r="B85" s="118"/>
      <c r="C85" s="118"/>
      <c r="D85" s="156">
        <f t="shared" si="14"/>
        <v>45106.3</v>
      </c>
      <c r="E85" s="168">
        <f>916+41</f>
        <v>957</v>
      </c>
      <c r="F85" s="119">
        <v>2500</v>
      </c>
      <c r="G85" s="206">
        <f>3610</f>
        <v>3610</v>
      </c>
      <c r="H85" s="119">
        <v>4200</v>
      </c>
      <c r="I85" s="119">
        <v>4159</v>
      </c>
      <c r="J85" s="119">
        <f>4200+29</f>
        <v>4229</v>
      </c>
      <c r="K85" s="119">
        <v>4200</v>
      </c>
      <c r="L85" s="119">
        <v>4200</v>
      </c>
      <c r="M85" s="119">
        <v>4200</v>
      </c>
      <c r="N85" s="119">
        <v>4200</v>
      </c>
      <c r="O85" s="119">
        <v>4200</v>
      </c>
      <c r="P85" s="119">
        <f>4480.3-29</f>
        <v>4451.3</v>
      </c>
      <c r="Q85" s="120">
        <v>136888.70000000001</v>
      </c>
      <c r="R85" s="121">
        <v>42281.7</v>
      </c>
      <c r="T85" s="171">
        <v>45106.3</v>
      </c>
      <c r="U85" s="178">
        <f>T85-D85</f>
        <v>0</v>
      </c>
    </row>
    <row r="86" spans="1:21" s="11" customFormat="1" ht="90">
      <c r="A86" s="61" t="s">
        <v>69</v>
      </c>
      <c r="B86" s="61"/>
      <c r="C86" s="61"/>
      <c r="D86" s="156">
        <f t="shared" si="14"/>
        <v>597728.00000000012</v>
      </c>
      <c r="E86" s="62">
        <f>SUM(E87:E90)</f>
        <v>30587</v>
      </c>
      <c r="F86" s="62">
        <f>SUM(F87:F90)</f>
        <v>31633.5</v>
      </c>
      <c r="G86" s="206">
        <f t="shared" ref="G86:O86" si="17">SUM(G87:G90)</f>
        <v>21680</v>
      </c>
      <c r="H86" s="62">
        <f t="shared" si="17"/>
        <v>37600</v>
      </c>
      <c r="I86" s="62">
        <f t="shared" si="17"/>
        <v>27342</v>
      </c>
      <c r="J86" s="62">
        <f t="shared" si="17"/>
        <v>68504</v>
      </c>
      <c r="K86" s="62">
        <f t="shared" si="17"/>
        <v>68504</v>
      </c>
      <c r="L86" s="62">
        <f t="shared" si="17"/>
        <v>68504</v>
      </c>
      <c r="M86" s="62">
        <f t="shared" si="17"/>
        <v>66054.399999999994</v>
      </c>
      <c r="N86" s="62">
        <f t="shared" si="17"/>
        <v>66054.399999999994</v>
      </c>
      <c r="O86" s="62">
        <f t="shared" si="17"/>
        <v>66054.399999999994</v>
      </c>
      <c r="P86" s="62">
        <f>SUM(P87:P90)</f>
        <v>45210.299999999996</v>
      </c>
      <c r="Q86" s="23">
        <v>25290.1</v>
      </c>
      <c r="R86" s="11">
        <v>2009351.1</v>
      </c>
      <c r="S86" s="79">
        <v>1482068.8</v>
      </c>
      <c r="T86" s="165">
        <v>990543.4</v>
      </c>
      <c r="U86" s="154"/>
    </row>
    <row r="87" spans="1:21">
      <c r="A87" s="39" t="s">
        <v>73</v>
      </c>
      <c r="B87" s="101"/>
      <c r="C87" s="101"/>
      <c r="D87" s="63">
        <f>E87+F87+G87+H87+I87+J87+K87+L87+M87+N87+O87+P87</f>
        <v>28928.1</v>
      </c>
      <c r="E87" s="170">
        <f>529-123</f>
        <v>406</v>
      </c>
      <c r="F87" s="115">
        <v>2452.5</v>
      </c>
      <c r="G87" s="209">
        <f>2264+123+1293</f>
        <v>3680</v>
      </c>
      <c r="H87" s="115">
        <v>2600</v>
      </c>
      <c r="I87" s="115">
        <v>2264</v>
      </c>
      <c r="J87" s="115">
        <v>2600</v>
      </c>
      <c r="K87" s="115">
        <v>2600</v>
      </c>
      <c r="L87" s="115">
        <v>2600</v>
      </c>
      <c r="M87" s="115">
        <v>2600</v>
      </c>
      <c r="N87" s="115">
        <v>2600</v>
      </c>
      <c r="O87" s="115">
        <v>2600</v>
      </c>
      <c r="P87" s="115">
        <f>2088+1130.6-1293</f>
        <v>1925.6</v>
      </c>
      <c r="Q87" s="110"/>
      <c r="R87" s="117">
        <f>25731+1547</f>
        <v>27278</v>
      </c>
      <c r="S87" s="11"/>
      <c r="T87" s="183">
        <f>1618.3+27309.8</f>
        <v>28928.1</v>
      </c>
      <c r="U87" s="180">
        <f>T87-D87</f>
        <v>0</v>
      </c>
    </row>
    <row r="88" spans="1:21">
      <c r="A88" s="39"/>
      <c r="B88" s="60">
        <f>SUM(E88:P88)</f>
        <v>528437.9</v>
      </c>
      <c r="C88" s="60">
        <f>B88-D88</f>
        <v>-36679</v>
      </c>
      <c r="D88" s="68">
        <v>565116.9</v>
      </c>
      <c r="E88" s="110">
        <v>10000</v>
      </c>
      <c r="F88" s="111">
        <v>9000</v>
      </c>
      <c r="G88" s="204">
        <v>18000</v>
      </c>
      <c r="H88" s="6">
        <v>35000</v>
      </c>
      <c r="I88" s="6">
        <v>25078</v>
      </c>
      <c r="J88" s="6">
        <v>65904</v>
      </c>
      <c r="K88" s="6">
        <v>65904</v>
      </c>
      <c r="L88" s="6">
        <v>65904</v>
      </c>
      <c r="M88" s="6">
        <v>63454.400000000001</v>
      </c>
      <c r="N88" s="6">
        <v>63454.400000000001</v>
      </c>
      <c r="O88" s="6">
        <v>63454.400000000001</v>
      </c>
      <c r="P88" s="6">
        <v>43284.7</v>
      </c>
      <c r="Q88" s="108"/>
      <c r="T88" s="83"/>
      <c r="U88" s="155"/>
    </row>
    <row r="89" spans="1:21" ht="30">
      <c r="A89" s="39" t="s">
        <v>71</v>
      </c>
      <c r="B89" s="60">
        <f>SUM(E89:P89)</f>
        <v>40362</v>
      </c>
      <c r="C89" s="60">
        <f>B89-D89</f>
        <v>-1256879.1000000001</v>
      </c>
      <c r="D89" s="68">
        <v>1297241.1000000001</v>
      </c>
      <c r="E89" s="108">
        <v>20181</v>
      </c>
      <c r="F89" s="108">
        <v>20181</v>
      </c>
      <c r="G89" s="205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T89" s="83"/>
      <c r="U89" s="155"/>
    </row>
    <row r="90" spans="1:21">
      <c r="A90" s="39"/>
      <c r="B90" s="39"/>
      <c r="C90" s="39"/>
      <c r="D90" s="68"/>
      <c r="E90" s="108"/>
      <c r="F90" s="6"/>
      <c r="G90" s="204"/>
      <c r="H90" s="6"/>
      <c r="I90" s="6"/>
      <c r="J90" s="6"/>
      <c r="K90" s="6"/>
      <c r="L90" s="6"/>
      <c r="M90" s="6"/>
      <c r="N90" s="6"/>
      <c r="O90" s="6"/>
      <c r="P90" s="25"/>
      <c r="Q90" s="108"/>
      <c r="T90" s="83"/>
      <c r="U90" s="155"/>
    </row>
    <row r="91" spans="1:21" s="11" customFormat="1" ht="60">
      <c r="A91" s="61" t="s">
        <v>70</v>
      </c>
      <c r="B91" s="61"/>
      <c r="C91" s="84"/>
      <c r="D91" s="156">
        <f>SUM(E91:P91)</f>
        <v>1310449.83</v>
      </c>
      <c r="E91" s="62">
        <f>SUM(E92:E95)</f>
        <v>50164</v>
      </c>
      <c r="F91" s="62">
        <f>SUM(F92:F95)</f>
        <v>61611.5</v>
      </c>
      <c r="G91" s="206">
        <f t="shared" ref="G91:P91" si="18">SUM(G92:G95)</f>
        <v>90947.5</v>
      </c>
      <c r="H91" s="62">
        <f t="shared" si="18"/>
        <v>41817.199999999997</v>
      </c>
      <c r="I91" s="62">
        <f t="shared" si="18"/>
        <v>100263.9</v>
      </c>
      <c r="J91" s="62">
        <f t="shared" si="18"/>
        <v>123828.4</v>
      </c>
      <c r="K91" s="62">
        <f t="shared" si="18"/>
        <v>123425.4</v>
      </c>
      <c r="L91" s="62">
        <f t="shared" si="18"/>
        <v>123429.2</v>
      </c>
      <c r="M91" s="62">
        <f t="shared" si="18"/>
        <v>143490.5</v>
      </c>
      <c r="N91" s="62">
        <f t="shared" si="18"/>
        <v>143490.5</v>
      </c>
      <c r="O91" s="62">
        <f t="shared" si="18"/>
        <v>143490.5</v>
      </c>
      <c r="P91" s="62">
        <f t="shared" si="18"/>
        <v>164491.23000000001</v>
      </c>
      <c r="Q91" s="23">
        <v>35576</v>
      </c>
      <c r="R91" s="11">
        <v>12507529</v>
      </c>
      <c r="S91" s="11">
        <v>899386.2</v>
      </c>
      <c r="T91" s="165">
        <v>1006705.4</v>
      </c>
      <c r="U91" s="154"/>
    </row>
    <row r="92" spans="1:21" s="65" customFormat="1">
      <c r="A92" s="39" t="s">
        <v>73</v>
      </c>
      <c r="B92" s="153">
        <f>SUM(E92:P92)</f>
        <v>71653</v>
      </c>
      <c r="C92" s="114">
        <f>B92-D92</f>
        <v>0</v>
      </c>
      <c r="D92" s="184">
        <f>E92+F92+G92+H92+I92+J92+K92+L92+M92+N92+O92+P92</f>
        <v>71653</v>
      </c>
      <c r="E92" s="170">
        <f>4790-1026</f>
        <v>3764</v>
      </c>
      <c r="F92" s="115">
        <v>5200</v>
      </c>
      <c r="G92" s="209">
        <f>5200+1026+2074</f>
        <v>8300</v>
      </c>
      <c r="H92" s="115">
        <f>5200+2473-855.8</f>
        <v>6817.2</v>
      </c>
      <c r="I92" s="115">
        <v>5200</v>
      </c>
      <c r="J92" s="115">
        <v>6398</v>
      </c>
      <c r="K92" s="115">
        <v>5995</v>
      </c>
      <c r="L92" s="115">
        <f>5995+3.8</f>
        <v>5998.8</v>
      </c>
      <c r="M92" s="115">
        <v>5995</v>
      </c>
      <c r="N92" s="115">
        <v>5995</v>
      </c>
      <c r="O92" s="115">
        <v>5995</v>
      </c>
      <c r="P92" s="115">
        <v>5995</v>
      </c>
      <c r="Q92" s="115"/>
      <c r="R92" s="116">
        <f>5524+30416.7</f>
        <v>35940.699999999997</v>
      </c>
      <c r="T92" s="183">
        <f>71653+1024.2</f>
        <v>72677.2</v>
      </c>
      <c r="U92" s="185">
        <f>T92-D92</f>
        <v>1024.1999999999971</v>
      </c>
    </row>
    <row r="93" spans="1:21">
      <c r="A93" s="39"/>
      <c r="B93" s="60">
        <f>SUM(E93:P93)</f>
        <v>1238796.83</v>
      </c>
      <c r="C93" s="60">
        <f>B93-D93</f>
        <v>95529.830000000075</v>
      </c>
      <c r="D93" s="63">
        <v>1143267</v>
      </c>
      <c r="E93" s="115">
        <v>46400</v>
      </c>
      <c r="F93" s="115">
        <v>56411.5</v>
      </c>
      <c r="G93" s="209">
        <v>82647.5</v>
      </c>
      <c r="H93" s="64">
        <v>35000</v>
      </c>
      <c r="I93" s="64">
        <v>95063.9</v>
      </c>
      <c r="J93" s="64">
        <v>117430.39999999999</v>
      </c>
      <c r="K93" s="64">
        <v>117430.39999999999</v>
      </c>
      <c r="L93" s="64">
        <v>117430.39999999999</v>
      </c>
      <c r="M93" s="64">
        <v>137495.5</v>
      </c>
      <c r="N93" s="64">
        <v>137495.5</v>
      </c>
      <c r="O93" s="64">
        <v>137495.5</v>
      </c>
      <c r="P93" s="64">
        <v>158496.23000000001</v>
      </c>
      <c r="Q93" s="108"/>
      <c r="T93" s="83"/>
      <c r="U93" s="155"/>
    </row>
    <row r="94" spans="1:21" ht="30">
      <c r="A94" s="39" t="s">
        <v>71</v>
      </c>
      <c r="B94" s="60">
        <f>SUM(E94:P94)</f>
        <v>0</v>
      </c>
      <c r="C94" s="60">
        <f>B94-D94</f>
        <v>0</v>
      </c>
      <c r="D94" s="63"/>
      <c r="E94" s="64"/>
      <c r="F94" s="64"/>
      <c r="G94" s="209"/>
      <c r="H94" s="64"/>
      <c r="I94" s="64"/>
      <c r="J94" s="64"/>
      <c r="K94" s="64"/>
      <c r="L94" s="64"/>
      <c r="M94" s="64"/>
      <c r="N94" s="64"/>
      <c r="O94" s="64"/>
      <c r="P94" s="64"/>
      <c r="Q94" s="108"/>
      <c r="T94" s="83"/>
      <c r="U94" s="155"/>
    </row>
    <row r="95" spans="1:21">
      <c r="A95" s="39"/>
      <c r="B95" s="39"/>
      <c r="C95" s="39"/>
      <c r="D95" s="63"/>
      <c r="E95" s="64"/>
      <c r="F95" s="64"/>
      <c r="G95" s="209"/>
      <c r="H95" s="64"/>
      <c r="I95" s="64"/>
      <c r="J95" s="64"/>
      <c r="K95" s="64"/>
      <c r="L95" s="64"/>
      <c r="M95" s="64"/>
      <c r="N95" s="64"/>
      <c r="O95" s="64"/>
      <c r="P95" s="64"/>
      <c r="Q95" s="108"/>
      <c r="T95" s="83"/>
      <c r="U95" s="155"/>
    </row>
    <row r="96" spans="1:21" s="11" customFormat="1" ht="43.5" customHeight="1">
      <c r="A96" s="40" t="s">
        <v>68</v>
      </c>
      <c r="B96" s="40"/>
      <c r="C96" s="40"/>
      <c r="D96" s="156">
        <f>SUM(E96:P96)</f>
        <v>444662.4</v>
      </c>
      <c r="E96" s="24">
        <f>SUM(E97:E99)</f>
        <v>126358.40000000001</v>
      </c>
      <c r="F96" s="24">
        <f t="shared" ref="F96:P96" si="19">SUM(F97:F99)</f>
        <v>302016</v>
      </c>
      <c r="G96" s="206">
        <f t="shared" si="19"/>
        <v>1400</v>
      </c>
      <c r="H96" s="24">
        <f t="shared" si="19"/>
        <v>1694</v>
      </c>
      <c r="I96" s="24">
        <f t="shared" si="19"/>
        <v>1694</v>
      </c>
      <c r="J96" s="24">
        <f t="shared" si="19"/>
        <v>1640</v>
      </c>
      <c r="K96" s="24">
        <f t="shared" si="19"/>
        <v>1640</v>
      </c>
      <c r="L96" s="24">
        <f t="shared" si="19"/>
        <v>1640</v>
      </c>
      <c r="M96" s="24">
        <f t="shared" si="19"/>
        <v>1640</v>
      </c>
      <c r="N96" s="24">
        <f t="shared" si="19"/>
        <v>1640</v>
      </c>
      <c r="O96" s="24">
        <f t="shared" si="19"/>
        <v>1640</v>
      </c>
      <c r="P96" s="24">
        <f t="shared" si="19"/>
        <v>1660</v>
      </c>
      <c r="Q96" s="24"/>
      <c r="T96" s="165">
        <v>3940682.3</v>
      </c>
      <c r="U96" s="154"/>
    </row>
    <row r="97" spans="1:21" ht="16.5" customHeight="1">
      <c r="A97" s="101" t="s">
        <v>72</v>
      </c>
      <c r="B97" s="101"/>
      <c r="C97" s="101"/>
      <c r="D97" s="68">
        <f>E97+F97+G97+H97+I97+J97+K97+L97+M97+N97+O97+P97</f>
        <v>17568</v>
      </c>
      <c r="E97" s="169">
        <v>360</v>
      </c>
      <c r="F97" s="111">
        <v>920</v>
      </c>
      <c r="G97" s="209">
        <v>1400</v>
      </c>
      <c r="H97" s="131">
        <v>1694</v>
      </c>
      <c r="I97" s="131">
        <v>1694</v>
      </c>
      <c r="J97" s="131">
        <v>1640</v>
      </c>
      <c r="K97" s="131">
        <v>1640</v>
      </c>
      <c r="L97" s="131">
        <v>1640</v>
      </c>
      <c r="M97" s="131">
        <v>1640</v>
      </c>
      <c r="N97" s="131">
        <v>1640</v>
      </c>
      <c r="O97" s="131">
        <v>1640</v>
      </c>
      <c r="P97" s="131">
        <v>1660</v>
      </c>
      <c r="Q97" s="110">
        <v>16301.9</v>
      </c>
      <c r="R97" s="113">
        <f>18831.3+110+30</f>
        <v>18971.3</v>
      </c>
      <c r="S97" s="113"/>
      <c r="T97" s="173">
        <v>17568</v>
      </c>
      <c r="U97" s="180">
        <f>T97-D97</f>
        <v>0</v>
      </c>
    </row>
    <row r="98" spans="1:21" ht="16.5" customHeight="1">
      <c r="A98" s="39" t="s">
        <v>73</v>
      </c>
      <c r="B98" s="39"/>
      <c r="C98" s="39"/>
      <c r="D98" s="158">
        <f>E98+F98+G98+H98+I98+J98+K98+L98+M98+N98+O98+P98</f>
        <v>126450.7</v>
      </c>
      <c r="E98" s="108">
        <v>57643.8</v>
      </c>
      <c r="F98" s="6">
        <v>68806.899999999994</v>
      </c>
      <c r="G98" s="204"/>
      <c r="H98" s="6"/>
      <c r="I98" s="6"/>
      <c r="J98" s="6"/>
      <c r="K98" s="6"/>
      <c r="L98" s="6"/>
      <c r="M98" s="6"/>
      <c r="N98" s="6"/>
      <c r="O98" s="6"/>
      <c r="P98" s="25"/>
      <c r="Q98" s="104"/>
      <c r="S98" s="58"/>
      <c r="T98" s="83"/>
      <c r="U98" s="155"/>
    </row>
    <row r="99" spans="1:21" ht="16.5" customHeight="1">
      <c r="A99" s="39" t="s">
        <v>71</v>
      </c>
      <c r="B99" s="39"/>
      <c r="C99" s="39"/>
      <c r="D99" s="158">
        <f>E99+F99+G99+H99+I99+J99+K99+L99+M99+N99+O99+P99</f>
        <v>300643.7</v>
      </c>
      <c r="E99" s="108">
        <v>68354.600000000006</v>
      </c>
      <c r="F99" s="6">
        <v>232289.1</v>
      </c>
      <c r="G99" s="204"/>
      <c r="H99" s="6"/>
      <c r="I99" s="6"/>
      <c r="J99" s="6"/>
      <c r="K99" s="6"/>
      <c r="L99" s="6"/>
      <c r="M99" s="6"/>
      <c r="N99" s="6"/>
      <c r="O99" s="6"/>
      <c r="P99" s="25"/>
      <c r="T99" s="83"/>
      <c r="U99" s="155"/>
    </row>
    <row r="100" spans="1:21" hidden="1">
      <c r="A100" s="41" t="s">
        <v>50</v>
      </c>
      <c r="B100" s="41"/>
      <c r="C100" s="41"/>
      <c r="D100" s="159"/>
      <c r="E100" s="108"/>
      <c r="F100" s="6"/>
      <c r="G100" s="204"/>
      <c r="H100" s="6"/>
      <c r="I100" s="6"/>
      <c r="J100" s="6"/>
      <c r="K100" s="6"/>
      <c r="L100" s="6"/>
      <c r="M100" s="6"/>
      <c r="N100" s="6"/>
      <c r="O100" s="6"/>
      <c r="P100" s="25"/>
      <c r="T100" s="83"/>
      <c r="U100" s="155"/>
    </row>
    <row r="101" spans="1:21" hidden="1">
      <c r="A101" s="31" t="s">
        <v>46</v>
      </c>
      <c r="B101" s="31"/>
      <c r="C101" s="31"/>
      <c r="D101" s="160"/>
      <c r="E101" s="136"/>
      <c r="F101" s="135"/>
      <c r="G101" s="190"/>
      <c r="H101" s="135"/>
      <c r="I101" s="135"/>
      <c r="J101" s="135"/>
      <c r="K101" s="135"/>
      <c r="L101" s="135"/>
      <c r="M101" s="135"/>
      <c r="N101" s="135"/>
      <c r="O101" s="135"/>
      <c r="P101" s="14"/>
      <c r="T101" s="83"/>
      <c r="U101" s="155"/>
    </row>
    <row r="102" spans="1:21" hidden="1">
      <c r="A102" s="32" t="s">
        <v>2</v>
      </c>
      <c r="B102" s="32"/>
      <c r="C102" s="32"/>
      <c r="D102" s="161"/>
      <c r="E102" s="106"/>
      <c r="F102" s="7"/>
      <c r="G102" s="195"/>
      <c r="H102" s="7"/>
      <c r="I102" s="7"/>
      <c r="J102" s="7"/>
      <c r="K102" s="7"/>
      <c r="L102" s="7"/>
      <c r="M102" s="7"/>
      <c r="N102" s="7"/>
      <c r="O102" s="7"/>
      <c r="P102" s="15"/>
      <c r="T102" s="83"/>
      <c r="U102" s="155"/>
    </row>
    <row r="103" spans="1:21" ht="18" hidden="1" customHeight="1">
      <c r="A103" s="33" t="s">
        <v>41</v>
      </c>
      <c r="B103" s="33"/>
      <c r="C103" s="33"/>
      <c r="D103" s="162"/>
      <c r="E103" s="106"/>
      <c r="F103" s="7"/>
      <c r="G103" s="195"/>
      <c r="H103" s="7"/>
      <c r="I103" s="7"/>
      <c r="J103" s="7"/>
      <c r="K103" s="7"/>
      <c r="L103" s="7"/>
      <c r="M103" s="7"/>
      <c r="N103" s="7"/>
      <c r="O103" s="7"/>
      <c r="P103" s="26"/>
      <c r="T103" s="83"/>
      <c r="U103" s="155"/>
    </row>
    <row r="104" spans="1:21" ht="18" hidden="1" customHeight="1">
      <c r="A104" s="4" t="s">
        <v>81</v>
      </c>
      <c r="B104" s="4"/>
      <c r="C104" s="4"/>
      <c r="D104" s="163"/>
      <c r="E104" s="106"/>
      <c r="F104" s="7"/>
      <c r="G104" s="195"/>
      <c r="H104" s="7"/>
      <c r="I104" s="7"/>
      <c r="J104" s="7"/>
      <c r="K104" s="7"/>
      <c r="L104" s="7"/>
      <c r="M104" s="7"/>
      <c r="N104" s="7"/>
      <c r="O104" s="7"/>
      <c r="P104" s="3"/>
      <c r="T104" s="83"/>
      <c r="U104" s="155"/>
    </row>
    <row r="105" spans="1:21" ht="33.75" customHeight="1">
      <c r="A105" s="149" t="s">
        <v>82</v>
      </c>
      <c r="B105" s="149"/>
      <c r="C105" s="149"/>
      <c r="D105" s="164">
        <f>SUM(E105:P105)</f>
        <v>4530</v>
      </c>
      <c r="E105" s="150">
        <f>SUM(E106:E108)</f>
        <v>90</v>
      </c>
      <c r="F105" s="150">
        <f t="shared" ref="F105:P105" si="20">SUM(F106:F108)</f>
        <v>150</v>
      </c>
      <c r="G105" s="210">
        <f t="shared" si="20"/>
        <v>430</v>
      </c>
      <c r="H105" s="150">
        <f t="shared" si="20"/>
        <v>480</v>
      </c>
      <c r="I105" s="150">
        <f t="shared" si="20"/>
        <v>480</v>
      </c>
      <c r="J105" s="150">
        <f t="shared" si="20"/>
        <v>400</v>
      </c>
      <c r="K105" s="150">
        <f t="shared" si="20"/>
        <v>400</v>
      </c>
      <c r="L105" s="150">
        <f t="shared" si="20"/>
        <v>400</v>
      </c>
      <c r="M105" s="150">
        <f t="shared" si="20"/>
        <v>400</v>
      </c>
      <c r="N105" s="150">
        <f t="shared" si="20"/>
        <v>400</v>
      </c>
      <c r="O105" s="150">
        <f t="shared" si="20"/>
        <v>400</v>
      </c>
      <c r="P105" s="150">
        <f t="shared" si="20"/>
        <v>500</v>
      </c>
      <c r="T105" s="83">
        <v>195583.5</v>
      </c>
      <c r="U105" s="155"/>
    </row>
    <row r="106" spans="1:21" ht="30">
      <c r="A106" s="101" t="s">
        <v>72</v>
      </c>
      <c r="B106" s="101"/>
      <c r="C106" s="101"/>
      <c r="D106" s="68">
        <f>E106+F106+G106+H106+I106+J106+K106+L106+M106+N106+O106+P106</f>
        <v>4530</v>
      </c>
      <c r="E106" s="169">
        <v>90</v>
      </c>
      <c r="F106" s="111">
        <v>150</v>
      </c>
      <c r="G106" s="209">
        <v>430</v>
      </c>
      <c r="H106" s="131">
        <v>480</v>
      </c>
      <c r="I106" s="131">
        <v>480</v>
      </c>
      <c r="J106" s="131">
        <v>400</v>
      </c>
      <c r="K106" s="131">
        <v>400</v>
      </c>
      <c r="L106" s="131">
        <v>400</v>
      </c>
      <c r="M106" s="131">
        <v>400</v>
      </c>
      <c r="N106" s="131">
        <v>400</v>
      </c>
      <c r="O106" s="131">
        <v>400</v>
      </c>
      <c r="P106" s="131">
        <v>500</v>
      </c>
      <c r="T106" s="183">
        <v>4530</v>
      </c>
      <c r="U106" s="180">
        <f>T106-D106</f>
        <v>0</v>
      </c>
    </row>
    <row r="107" spans="1:21">
      <c r="A107" s="151" t="s">
        <v>73</v>
      </c>
      <c r="B107" s="151"/>
      <c r="C107" s="151"/>
      <c r="D107" s="152">
        <f>E107+F107+G107+H107+I107+J107+K107+L107+M107+N107+O107+P107</f>
        <v>0</v>
      </c>
      <c r="E107" s="1"/>
      <c r="F107" s="1"/>
      <c r="G107" s="196"/>
      <c r="H107" s="1"/>
      <c r="I107" s="1"/>
      <c r="J107" s="1"/>
      <c r="K107" s="1"/>
      <c r="L107" s="1"/>
      <c r="M107" s="1"/>
      <c r="N107" s="1"/>
      <c r="O107" s="1"/>
      <c r="P107" s="1"/>
      <c r="T107" s="83"/>
      <c r="U107" s="155"/>
    </row>
    <row r="108" spans="1:21">
      <c r="A108" s="109" t="s">
        <v>51</v>
      </c>
      <c r="T108" s="83"/>
    </row>
    <row r="109" spans="1:21" ht="22.5" customHeight="1">
      <c r="A109" s="109" t="s">
        <v>52</v>
      </c>
      <c r="E109" s="109">
        <f>E106+E97+E92+E87+E85+E76+E71+E66+E61+E60+E58+E57+E56+E52+E51+E82</f>
        <v>50810</v>
      </c>
      <c r="O109" s="109">
        <f>O51+O52+O56+O57+O58+O60+O62+O64+O67+O69+O72+O74+O77+O79+O82+O85+O87+O92+O97+O106</f>
        <v>113536.9</v>
      </c>
      <c r="T109" s="83"/>
    </row>
    <row r="110" spans="1:21">
      <c r="D110" s="98"/>
      <c r="T110" s="83"/>
    </row>
    <row r="111" spans="1:21">
      <c r="D111" s="99"/>
      <c r="T111" s="83"/>
    </row>
    <row r="112" spans="1:21">
      <c r="T112" s="83"/>
    </row>
    <row r="113" spans="4:20">
      <c r="T113" s="83"/>
    </row>
    <row r="114" spans="4:20">
      <c r="D114" s="100"/>
    </row>
  </sheetData>
  <mergeCells count="26">
    <mergeCell ref="H36:H38"/>
    <mergeCell ref="A17:A25"/>
    <mergeCell ref="D17:D25"/>
    <mergeCell ref="E36:E38"/>
    <mergeCell ref="F36:F38"/>
    <mergeCell ref="G36:G38"/>
    <mergeCell ref="J40:J41"/>
    <mergeCell ref="K40:K41"/>
    <mergeCell ref="L40:L41"/>
    <mergeCell ref="I36:I38"/>
    <mergeCell ref="J36:J38"/>
    <mergeCell ref="K36:K38"/>
    <mergeCell ref="L36:L38"/>
    <mergeCell ref="E40:E41"/>
    <mergeCell ref="F40:F41"/>
    <mergeCell ref="G40:G41"/>
    <mergeCell ref="H40:H41"/>
    <mergeCell ref="I40:I41"/>
    <mergeCell ref="M40:M41"/>
    <mergeCell ref="N40:N41"/>
    <mergeCell ref="O40:O41"/>
    <mergeCell ref="P40:P41"/>
    <mergeCell ref="O36:O38"/>
    <mergeCell ref="P36:P38"/>
    <mergeCell ref="M36:M38"/>
    <mergeCell ref="N36:N38"/>
  </mergeCells>
  <conditionalFormatting sqref="D43:D44">
    <cfRule type="cellIs" dxfId="29" priority="30" stopIfTrue="1" operator="equal">
      <formula>$D$42</formula>
    </cfRule>
  </conditionalFormatting>
  <conditionalFormatting sqref="D46:D48 E47:P47">
    <cfRule type="cellIs" dxfId="28" priority="27" stopIfTrue="1" operator="equal">
      <formula>$D$45</formula>
    </cfRule>
    <cfRule type="cellIs" dxfId="27" priority="28" stopIfTrue="1" operator="equal">
      <formula>$D$45</formula>
    </cfRule>
    <cfRule type="cellIs" dxfId="26" priority="29" stopIfTrue="1" operator="equal">
      <formula>$D$42</formula>
    </cfRule>
  </conditionalFormatting>
  <conditionalFormatting sqref="D50">
    <cfRule type="cellIs" dxfId="25" priority="26" stopIfTrue="1" operator="equal">
      <formula>$D$49</formula>
    </cfRule>
  </conditionalFormatting>
  <conditionalFormatting sqref="C46:C48">
    <cfRule type="cellIs" dxfId="24" priority="25" stopIfTrue="1" operator="equal">
      <formula>0</formula>
    </cfRule>
  </conditionalFormatting>
  <conditionalFormatting sqref="C50">
    <cfRule type="cellIs" dxfId="23" priority="24" stopIfTrue="1" operator="equal">
      <formula>0</formula>
    </cfRule>
  </conditionalFormatting>
  <conditionalFormatting sqref="C44">
    <cfRule type="cellIs" dxfId="22" priority="23" stopIfTrue="1" operator="equal">
      <formula>0</formula>
    </cfRule>
  </conditionalFormatting>
  <conditionalFormatting sqref="E47:P48">
    <cfRule type="cellIs" dxfId="21" priority="20" stopIfTrue="1" operator="equal">
      <formula>$D$45</formula>
    </cfRule>
    <cfRule type="cellIs" dxfId="20" priority="21" stopIfTrue="1" operator="equal">
      <formula>$D$45</formula>
    </cfRule>
    <cfRule type="cellIs" dxfId="19" priority="22" stopIfTrue="1" operator="equal">
      <formula>$D$42</formula>
    </cfRule>
  </conditionalFormatting>
  <conditionalFormatting sqref="E48:P48">
    <cfRule type="cellIs" dxfId="18" priority="17" stopIfTrue="1" operator="equal">
      <formula>$D$45</formula>
    </cfRule>
    <cfRule type="cellIs" dxfId="17" priority="18" stopIfTrue="1" operator="equal">
      <formula>$D$45</formula>
    </cfRule>
    <cfRule type="cellIs" dxfId="16" priority="19" stopIfTrue="1" operator="equal">
      <formula>$D$42</formula>
    </cfRule>
  </conditionalFormatting>
  <conditionalFormatting sqref="E48">
    <cfRule type="cellIs" dxfId="15" priority="16" stopIfTrue="1" operator="lessThan">
      <formula>0</formula>
    </cfRule>
  </conditionalFormatting>
  <conditionalFormatting sqref="F48:P48">
    <cfRule type="cellIs" dxfId="14" priority="15" stopIfTrue="1" operator="lessThan">
      <formula>0</formula>
    </cfRule>
  </conditionalFormatting>
  <conditionalFormatting sqref="D48">
    <cfRule type="cellIs" dxfId="13" priority="12" stopIfTrue="1" operator="equal">
      <formula>$D$45</formula>
    </cfRule>
    <cfRule type="cellIs" dxfId="12" priority="13" stopIfTrue="1" operator="equal">
      <formula>$D$45</formula>
    </cfRule>
    <cfRule type="cellIs" dxfId="11" priority="14" stopIfTrue="1" operator="equal">
      <formula>$D$42</formula>
    </cfRule>
  </conditionalFormatting>
  <conditionalFormatting sqref="D48">
    <cfRule type="cellIs" dxfId="10" priority="9" stopIfTrue="1" operator="equal">
      <formula>$D$45</formula>
    </cfRule>
    <cfRule type="cellIs" dxfId="9" priority="10" stopIfTrue="1" operator="equal">
      <formula>$D$45</formula>
    </cfRule>
    <cfRule type="cellIs" dxfId="8" priority="11" stopIfTrue="1" operator="equal">
      <formula>$D$42</formula>
    </cfRule>
  </conditionalFormatting>
  <conditionalFormatting sqref="D48">
    <cfRule type="cellIs" dxfId="7" priority="8" stopIfTrue="1" operator="lessThan">
      <formula>0</formula>
    </cfRule>
  </conditionalFormatting>
  <conditionalFormatting sqref="D47:P47">
    <cfRule type="cellIs" dxfId="6" priority="5" stopIfTrue="1" operator="equal">
      <formula>$D$45</formula>
    </cfRule>
    <cfRule type="cellIs" dxfId="5" priority="6" stopIfTrue="1" operator="equal">
      <formula>$D$45</formula>
    </cfRule>
    <cfRule type="cellIs" dxfId="4" priority="7" stopIfTrue="1" operator="equal">
      <formula>$D$42</formula>
    </cfRule>
  </conditionalFormatting>
  <conditionalFormatting sqref="D47:P47">
    <cfRule type="cellIs" dxfId="3" priority="2" stopIfTrue="1" operator="equal">
      <formula>$D$45</formula>
    </cfRule>
    <cfRule type="cellIs" dxfId="2" priority="3" stopIfTrue="1" operator="equal">
      <formula>$D$45</formula>
    </cfRule>
    <cfRule type="cellIs" dxfId="1" priority="4" stopIfTrue="1" operator="equal">
      <formula>$D$42</formula>
    </cfRule>
  </conditionalFormatting>
  <conditionalFormatting sqref="D47:P47">
    <cfRule type="cellIs" dxfId="0" priority="1" stopIfTrue="1" operator="lessThan">
      <formula>0</formula>
    </cfRule>
  </conditionalFormatting>
  <pageMargins left="0.70866141732283472" right="0.21" top="0.31" bottom="0.23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30"/>
  <sheetViews>
    <sheetView tabSelected="1" topLeftCell="A16" workbookViewId="0">
      <selection activeCell="M38" sqref="M38"/>
    </sheetView>
  </sheetViews>
  <sheetFormatPr defaultRowHeight="15"/>
  <cols>
    <col min="1" max="1" width="27.85546875" style="109" customWidth="1"/>
    <col min="2" max="2" width="12" style="109" hidden="1" customWidth="1"/>
    <col min="3" max="3" width="11.28515625" style="109" hidden="1" customWidth="1"/>
    <col min="4" max="4" width="13.5703125" style="109" customWidth="1"/>
    <col min="5" max="5" width="12.71093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1" width="13.5703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0" width="10" style="109" bestFit="1" customWidth="1"/>
    <col min="21" max="21" width="9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87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</row>
    <row r="15" spans="7:17" ht="18.75">
      <c r="G15" s="20" t="s">
        <v>88</v>
      </c>
      <c r="H15" s="20"/>
      <c r="I15" s="20"/>
      <c r="J15" s="20"/>
      <c r="Q15" s="104"/>
    </row>
    <row r="16" spans="7:17" ht="15.75" thickBot="1">
      <c r="Q16" s="104"/>
    </row>
    <row r="17" spans="1:22" ht="15.75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22">
      <c r="A18" s="246"/>
      <c r="B18" s="28"/>
      <c r="C18" s="28"/>
      <c r="D18" s="249"/>
      <c r="E18" s="102" t="s">
        <v>15</v>
      </c>
      <c r="F18" s="2" t="s">
        <v>21</v>
      </c>
      <c r="G18" s="227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21" t="s">
        <v>30</v>
      </c>
      <c r="N18" s="221" t="s">
        <v>32</v>
      </c>
      <c r="O18" s="227" t="s">
        <v>16</v>
      </c>
      <c r="P18" s="17" t="s">
        <v>34</v>
      </c>
    </row>
    <row r="19" spans="1:22">
      <c r="A19" s="246"/>
      <c r="B19" s="28"/>
      <c r="C19" s="28"/>
      <c r="D19" s="249"/>
      <c r="E19" s="102" t="s">
        <v>16</v>
      </c>
      <c r="F19" s="2" t="s">
        <v>22</v>
      </c>
      <c r="G19" s="227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21" t="s">
        <v>22</v>
      </c>
      <c r="N19" s="221" t="s">
        <v>33</v>
      </c>
      <c r="O19" s="227" t="s">
        <v>32</v>
      </c>
      <c r="P19" s="17" t="s">
        <v>22</v>
      </c>
    </row>
    <row r="20" spans="1:22">
      <c r="A20" s="246"/>
      <c r="B20" s="28"/>
      <c r="C20" s="28"/>
      <c r="D20" s="249"/>
      <c r="E20" s="102" t="s">
        <v>17</v>
      </c>
      <c r="F20" s="2" t="s">
        <v>17</v>
      </c>
      <c r="G20" s="227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21" t="s">
        <v>16</v>
      </c>
      <c r="N20" s="221" t="s">
        <v>25</v>
      </c>
      <c r="O20" s="227" t="s">
        <v>15</v>
      </c>
      <c r="P20" s="17" t="s">
        <v>33</v>
      </c>
    </row>
    <row r="21" spans="1:22">
      <c r="A21" s="246"/>
      <c r="B21" s="28"/>
      <c r="C21" s="28"/>
      <c r="D21" s="249"/>
      <c r="E21" s="102" t="s">
        <v>18</v>
      </c>
      <c r="F21" s="2" t="s">
        <v>19</v>
      </c>
      <c r="G21" s="227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21" t="s">
        <v>25</v>
      </c>
      <c r="N21" s="221" t="s">
        <v>15</v>
      </c>
      <c r="O21" s="227" t="s">
        <v>31</v>
      </c>
      <c r="P21" s="17" t="s">
        <v>18</v>
      </c>
    </row>
    <row r="22" spans="1:22">
      <c r="A22" s="246"/>
      <c r="B22" s="28"/>
      <c r="C22" s="28"/>
      <c r="D22" s="249"/>
      <c r="E22" s="102" t="s">
        <v>19</v>
      </c>
      <c r="F22" s="2" t="s">
        <v>18</v>
      </c>
      <c r="G22" s="227"/>
      <c r="H22" s="2" t="s">
        <v>23</v>
      </c>
      <c r="I22" s="2"/>
      <c r="J22" s="2"/>
      <c r="K22" s="2"/>
      <c r="L22" s="2" t="s">
        <v>30</v>
      </c>
      <c r="M22" s="221" t="s">
        <v>15</v>
      </c>
      <c r="N22" s="221" t="s">
        <v>31</v>
      </c>
      <c r="O22" s="227" t="s">
        <v>19</v>
      </c>
      <c r="P22" s="17" t="s">
        <v>31</v>
      </c>
    </row>
    <row r="23" spans="1:22">
      <c r="A23" s="246"/>
      <c r="B23" s="28"/>
      <c r="C23" s="28"/>
      <c r="D23" s="249"/>
      <c r="E23" s="102" t="s">
        <v>20</v>
      </c>
      <c r="F23" s="2" t="s">
        <v>23</v>
      </c>
      <c r="G23" s="227"/>
      <c r="H23" s="2" t="s">
        <v>20</v>
      </c>
      <c r="I23" s="2"/>
      <c r="J23" s="2"/>
      <c r="K23" s="2"/>
      <c r="L23" s="2" t="s">
        <v>25</v>
      </c>
      <c r="M23" s="221" t="s">
        <v>31</v>
      </c>
      <c r="N23" s="221" t="s">
        <v>19</v>
      </c>
      <c r="O23" s="227" t="s">
        <v>20</v>
      </c>
      <c r="P23" s="17" t="s">
        <v>19</v>
      </c>
    </row>
    <row r="24" spans="1:22">
      <c r="A24" s="246"/>
      <c r="B24" s="28"/>
      <c r="C24" s="28"/>
      <c r="D24" s="249"/>
      <c r="E24" s="102"/>
      <c r="F24" s="2" t="s">
        <v>20</v>
      </c>
      <c r="G24" s="227"/>
      <c r="H24" s="2"/>
      <c r="I24" s="2"/>
      <c r="J24" s="2"/>
      <c r="K24" s="2"/>
      <c r="L24" s="2"/>
      <c r="M24" s="221" t="s">
        <v>19</v>
      </c>
      <c r="N24" s="221" t="s">
        <v>20</v>
      </c>
      <c r="O24" s="227"/>
      <c r="P24" s="17" t="s">
        <v>20</v>
      </c>
    </row>
    <row r="25" spans="1:22" ht="15.75" thickBot="1">
      <c r="A25" s="247"/>
      <c r="B25" s="29"/>
      <c r="C25" s="29"/>
      <c r="D25" s="250"/>
      <c r="E25" s="42"/>
      <c r="F25" s="18"/>
      <c r="G25" s="228"/>
      <c r="H25" s="18"/>
      <c r="I25" s="18"/>
      <c r="J25" s="18"/>
      <c r="K25" s="18"/>
      <c r="L25" s="18"/>
      <c r="M25" s="222" t="s">
        <v>20</v>
      </c>
      <c r="N25" s="222"/>
      <c r="O25" s="228"/>
      <c r="P25" s="19"/>
    </row>
    <row r="26" spans="1:22" ht="15.75" thickBot="1">
      <c r="A26" s="50">
        <v>1</v>
      </c>
      <c r="B26" s="50"/>
      <c r="C26" s="50"/>
      <c r="D26" s="51">
        <v>2</v>
      </c>
      <c r="E26" s="52">
        <v>3</v>
      </c>
      <c r="F26" s="53">
        <v>4</v>
      </c>
      <c r="G26" s="229">
        <v>5</v>
      </c>
      <c r="H26" s="53">
        <v>6</v>
      </c>
      <c r="I26" s="53">
        <v>7</v>
      </c>
      <c r="J26" s="53">
        <v>8</v>
      </c>
      <c r="K26" s="53">
        <v>9</v>
      </c>
      <c r="L26" s="52">
        <v>10</v>
      </c>
      <c r="M26" s="223">
        <v>11</v>
      </c>
      <c r="N26" s="223">
        <v>12</v>
      </c>
      <c r="O26" s="229">
        <v>13</v>
      </c>
      <c r="P26" s="54">
        <v>14</v>
      </c>
    </row>
    <row r="27" spans="1:22" s="11" customFormat="1" ht="43.5" customHeight="1">
      <c r="A27" s="231" t="s">
        <v>68</v>
      </c>
      <c r="B27" s="40"/>
      <c r="C27" s="40"/>
      <c r="D27" s="156">
        <f>SUM(E27:P27)</f>
        <v>4104594.5</v>
      </c>
      <c r="E27" s="215">
        <f>SUM(E28:E30)</f>
        <v>286039.40000000002</v>
      </c>
      <c r="F27" s="215">
        <f t="shared" ref="F27:P27" si="0">SUM(F28:F30)</f>
        <v>331548.80000000005</v>
      </c>
      <c r="G27" s="215">
        <f t="shared" si="0"/>
        <v>331548.80000000005</v>
      </c>
      <c r="H27" s="215">
        <f>SUM(H28:H30)</f>
        <v>347558.40000000002</v>
      </c>
      <c r="I27" s="215">
        <f t="shared" si="0"/>
        <v>342440.9</v>
      </c>
      <c r="J27" s="215">
        <f t="shared" si="0"/>
        <v>347764.80000000005</v>
      </c>
      <c r="K27" s="215">
        <f t="shared" si="0"/>
        <v>354068.30000000005</v>
      </c>
      <c r="L27" s="215">
        <f t="shared" si="0"/>
        <v>341254.9</v>
      </c>
      <c r="M27" s="225">
        <f t="shared" si="0"/>
        <v>341254.9</v>
      </c>
      <c r="N27" s="225">
        <f t="shared" si="0"/>
        <v>347558.40000000002</v>
      </c>
      <c r="O27" s="215">
        <f t="shared" si="0"/>
        <v>341254.9</v>
      </c>
      <c r="P27" s="215">
        <f t="shared" si="0"/>
        <v>392302</v>
      </c>
      <c r="Q27" s="215"/>
      <c r="R27" s="154"/>
      <c r="S27" s="154"/>
      <c r="T27" s="154"/>
      <c r="U27" s="154"/>
    </row>
    <row r="28" spans="1:22" ht="16.5" customHeight="1">
      <c r="A28" s="101" t="s">
        <v>90</v>
      </c>
      <c r="B28" s="101"/>
      <c r="C28" s="101"/>
      <c r="D28" s="68">
        <f>E28+F28+G28+H28+I28+J28+K28+L28+M28+N28+O28+P28</f>
        <v>18104.5</v>
      </c>
      <c r="E28" s="216">
        <f>710+97</f>
        <v>807</v>
      </c>
      <c r="F28" s="217">
        <v>1572.5</v>
      </c>
      <c r="G28" s="217">
        <v>1572.5</v>
      </c>
      <c r="H28" s="217">
        <v>1572.5</v>
      </c>
      <c r="I28" s="217">
        <v>1572.5</v>
      </c>
      <c r="J28" s="217">
        <v>1572.5</v>
      </c>
      <c r="K28" s="217">
        <v>1572.5</v>
      </c>
      <c r="L28" s="217">
        <v>1572.5</v>
      </c>
      <c r="M28" s="217">
        <v>1572.5</v>
      </c>
      <c r="N28" s="217">
        <v>1572.5</v>
      </c>
      <c r="O28" s="217">
        <v>1572.5</v>
      </c>
      <c r="P28" s="217">
        <v>1572.5</v>
      </c>
      <c r="Q28" s="216">
        <v>16301.9</v>
      </c>
      <c r="R28" s="218">
        <f>18831.3+110+30</f>
        <v>18971.3</v>
      </c>
      <c r="S28" s="218"/>
      <c r="T28" s="113">
        <f>18011.5+93</f>
        <v>18104.5</v>
      </c>
      <c r="U28" s="180">
        <f>T28-D28</f>
        <v>0</v>
      </c>
      <c r="V28" s="109" t="s">
        <v>93</v>
      </c>
    </row>
    <row r="29" spans="1:22" ht="16.5" customHeight="1">
      <c r="A29" s="151" t="s">
        <v>73</v>
      </c>
      <c r="B29" s="151"/>
      <c r="C29" s="151"/>
      <c r="D29" s="237">
        <f t="shared" ref="D29:D30" si="1">E29+F29+G29+H29+I29+J29+K29+L29+M29+N29+O29+P29</f>
        <v>1346669.9</v>
      </c>
      <c r="E29" s="220">
        <v>52712</v>
      </c>
      <c r="F29" s="220">
        <v>103759.1</v>
      </c>
      <c r="G29" s="220">
        <v>103759.1</v>
      </c>
      <c r="H29" s="220">
        <v>113465.2</v>
      </c>
      <c r="I29" s="220">
        <v>114651.2</v>
      </c>
      <c r="J29" s="220">
        <v>119975.1</v>
      </c>
      <c r="K29" s="220">
        <v>119975.1</v>
      </c>
      <c r="L29" s="220">
        <v>113465.2</v>
      </c>
      <c r="M29" s="224">
        <v>113465.2</v>
      </c>
      <c r="N29" s="224">
        <v>113465.2</v>
      </c>
      <c r="O29" s="220">
        <v>113465.2</v>
      </c>
      <c r="P29" s="220">
        <v>164512.29999999999</v>
      </c>
      <c r="Q29" s="218"/>
      <c r="R29" s="155"/>
      <c r="S29" s="218"/>
      <c r="T29" s="155" t="s">
        <v>92</v>
      </c>
      <c r="U29" s="155"/>
    </row>
    <row r="30" spans="1:22" ht="30.75" customHeight="1">
      <c r="A30" s="236" t="s">
        <v>71</v>
      </c>
      <c r="B30" s="151"/>
      <c r="C30" s="151"/>
      <c r="D30" s="237">
        <f t="shared" si="1"/>
        <v>2739820.1</v>
      </c>
      <c r="E30" s="220">
        <f>226216.9+6303.5</f>
        <v>232520.4</v>
      </c>
      <c r="F30" s="220">
        <f>226217.2</f>
        <v>226217.2</v>
      </c>
      <c r="G30" s="220">
        <f>226217.2</f>
        <v>226217.2</v>
      </c>
      <c r="H30" s="220">
        <f t="shared" ref="H30:N30" si="2">226217.2+6303.5</f>
        <v>232520.7</v>
      </c>
      <c r="I30" s="220">
        <f>226217.2</f>
        <v>226217.2</v>
      </c>
      <c r="J30" s="220">
        <f>226217.2</f>
        <v>226217.2</v>
      </c>
      <c r="K30" s="220">
        <f t="shared" si="2"/>
        <v>232520.7</v>
      </c>
      <c r="L30" s="220">
        <f>226217.2</f>
        <v>226217.2</v>
      </c>
      <c r="M30" s="220">
        <f>226217.2</f>
        <v>226217.2</v>
      </c>
      <c r="N30" s="220">
        <f t="shared" si="2"/>
        <v>232520.7</v>
      </c>
      <c r="O30" s="220">
        <f>226217.2</f>
        <v>226217.2</v>
      </c>
      <c r="P30" s="220">
        <f>226217.2</f>
        <v>226217.2</v>
      </c>
      <c r="Q30" s="155"/>
      <c r="R30" s="155"/>
      <c r="S30" s="155"/>
      <c r="T30" s="155" t="s">
        <v>92</v>
      </c>
      <c r="U30" s="155"/>
    </row>
  </sheetData>
  <mergeCells count="2">
    <mergeCell ref="A17:A25"/>
    <mergeCell ref="D17:D25"/>
  </mergeCells>
  <pageMargins left="0.19685039370078741" right="0.19685039370078741" top="0.74803149606299213" bottom="0.74803149606299213" header="0.31496062992125984" footer="0.31496062992125984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34"/>
  <sheetViews>
    <sheetView topLeftCell="A8" workbookViewId="0">
      <selection activeCell="V28" sqref="V28"/>
    </sheetView>
  </sheetViews>
  <sheetFormatPr defaultRowHeight="15"/>
  <cols>
    <col min="1" max="1" width="27" style="109" customWidth="1"/>
    <col min="2" max="2" width="4.42578125" style="109" hidden="1" customWidth="1"/>
    <col min="3" max="3" width="11.28515625" style="109" hidden="1" customWidth="1"/>
    <col min="4" max="4" width="13.5703125" style="109" customWidth="1"/>
    <col min="5" max="5" width="12.71093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1" width="13.5703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0" width="10" style="109" bestFit="1" customWidth="1"/>
    <col min="21" max="21" width="9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87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</row>
    <row r="15" spans="7:17" ht="18.75">
      <c r="G15" s="20" t="s">
        <v>88</v>
      </c>
      <c r="H15" s="20"/>
      <c r="I15" s="20"/>
      <c r="J15" s="20"/>
      <c r="Q15" s="104"/>
    </row>
    <row r="16" spans="7:17" ht="15.75" thickBot="1">
      <c r="Q16" s="104"/>
    </row>
    <row r="17" spans="1:22" ht="15.75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22">
      <c r="A18" s="246"/>
      <c r="B18" s="28"/>
      <c r="C18" s="28"/>
      <c r="D18" s="249"/>
      <c r="E18" s="102" t="s">
        <v>15</v>
      </c>
      <c r="F18" s="2" t="s">
        <v>21</v>
      </c>
      <c r="G18" s="227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21" t="s">
        <v>30</v>
      </c>
      <c r="N18" s="221" t="s">
        <v>32</v>
      </c>
      <c r="O18" s="227" t="s">
        <v>16</v>
      </c>
      <c r="P18" s="17" t="s">
        <v>34</v>
      </c>
    </row>
    <row r="19" spans="1:22">
      <c r="A19" s="246"/>
      <c r="B19" s="28"/>
      <c r="C19" s="28"/>
      <c r="D19" s="249"/>
      <c r="E19" s="102" t="s">
        <v>16</v>
      </c>
      <c r="F19" s="2" t="s">
        <v>22</v>
      </c>
      <c r="G19" s="227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21" t="s">
        <v>22</v>
      </c>
      <c r="N19" s="221" t="s">
        <v>33</v>
      </c>
      <c r="O19" s="227" t="s">
        <v>32</v>
      </c>
      <c r="P19" s="17" t="s">
        <v>22</v>
      </c>
    </row>
    <row r="20" spans="1:22">
      <c r="A20" s="246"/>
      <c r="B20" s="28"/>
      <c r="C20" s="28"/>
      <c r="D20" s="249"/>
      <c r="E20" s="102" t="s">
        <v>17</v>
      </c>
      <c r="F20" s="2" t="s">
        <v>17</v>
      </c>
      <c r="G20" s="227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21" t="s">
        <v>16</v>
      </c>
      <c r="N20" s="221" t="s">
        <v>25</v>
      </c>
      <c r="O20" s="227" t="s">
        <v>15</v>
      </c>
      <c r="P20" s="17" t="s">
        <v>33</v>
      </c>
    </row>
    <row r="21" spans="1:22">
      <c r="A21" s="246"/>
      <c r="B21" s="28"/>
      <c r="C21" s="28"/>
      <c r="D21" s="249"/>
      <c r="E21" s="102" t="s">
        <v>18</v>
      </c>
      <c r="F21" s="2" t="s">
        <v>19</v>
      </c>
      <c r="G21" s="227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21" t="s">
        <v>25</v>
      </c>
      <c r="N21" s="221" t="s">
        <v>15</v>
      </c>
      <c r="O21" s="227" t="s">
        <v>31</v>
      </c>
      <c r="P21" s="17" t="s">
        <v>18</v>
      </c>
    </row>
    <row r="22" spans="1:22">
      <c r="A22" s="246"/>
      <c r="B22" s="28"/>
      <c r="C22" s="28"/>
      <c r="D22" s="249"/>
      <c r="E22" s="102" t="s">
        <v>19</v>
      </c>
      <c r="F22" s="2" t="s">
        <v>18</v>
      </c>
      <c r="G22" s="227"/>
      <c r="H22" s="2" t="s">
        <v>23</v>
      </c>
      <c r="I22" s="2"/>
      <c r="J22" s="2"/>
      <c r="K22" s="2"/>
      <c r="L22" s="2" t="s">
        <v>30</v>
      </c>
      <c r="M22" s="221" t="s">
        <v>15</v>
      </c>
      <c r="N22" s="221" t="s">
        <v>31</v>
      </c>
      <c r="O22" s="227" t="s">
        <v>19</v>
      </c>
      <c r="P22" s="17" t="s">
        <v>31</v>
      </c>
    </row>
    <row r="23" spans="1:22">
      <c r="A23" s="246"/>
      <c r="B23" s="28"/>
      <c r="C23" s="28"/>
      <c r="D23" s="249"/>
      <c r="E23" s="102" t="s">
        <v>20</v>
      </c>
      <c r="F23" s="2" t="s">
        <v>23</v>
      </c>
      <c r="G23" s="227"/>
      <c r="H23" s="2" t="s">
        <v>20</v>
      </c>
      <c r="I23" s="2"/>
      <c r="J23" s="2"/>
      <c r="K23" s="2"/>
      <c r="L23" s="2" t="s">
        <v>25</v>
      </c>
      <c r="M23" s="221" t="s">
        <v>31</v>
      </c>
      <c r="N23" s="221" t="s">
        <v>19</v>
      </c>
      <c r="O23" s="227" t="s">
        <v>20</v>
      </c>
      <c r="P23" s="17" t="s">
        <v>19</v>
      </c>
    </row>
    <row r="24" spans="1:22">
      <c r="A24" s="246"/>
      <c r="B24" s="28"/>
      <c r="C24" s="28"/>
      <c r="D24" s="249"/>
      <c r="E24" s="102"/>
      <c r="F24" s="2" t="s">
        <v>20</v>
      </c>
      <c r="G24" s="227"/>
      <c r="H24" s="2"/>
      <c r="I24" s="2"/>
      <c r="J24" s="2"/>
      <c r="K24" s="2"/>
      <c r="L24" s="2"/>
      <c r="M24" s="221" t="s">
        <v>19</v>
      </c>
      <c r="N24" s="221" t="s">
        <v>20</v>
      </c>
      <c r="O24" s="227"/>
      <c r="P24" s="17" t="s">
        <v>20</v>
      </c>
    </row>
    <row r="25" spans="1:22" ht="15.75" thickBot="1">
      <c r="A25" s="247"/>
      <c r="B25" s="29"/>
      <c r="C25" s="29"/>
      <c r="D25" s="250"/>
      <c r="E25" s="42"/>
      <c r="F25" s="18"/>
      <c r="G25" s="228"/>
      <c r="H25" s="18"/>
      <c r="I25" s="18"/>
      <c r="J25" s="18"/>
      <c r="K25" s="18"/>
      <c r="L25" s="18"/>
      <c r="M25" s="222" t="s">
        <v>20</v>
      </c>
      <c r="N25" s="222"/>
      <c r="O25" s="228"/>
      <c r="P25" s="19"/>
    </row>
    <row r="26" spans="1:22" ht="15.75" thickBot="1">
      <c r="A26" s="50">
        <v>1</v>
      </c>
      <c r="B26" s="50"/>
      <c r="C26" s="50"/>
      <c r="D26" s="51">
        <v>2</v>
      </c>
      <c r="E26" s="52">
        <v>3</v>
      </c>
      <c r="F26" s="53">
        <v>4</v>
      </c>
      <c r="G26" s="229">
        <v>5</v>
      </c>
      <c r="H26" s="53">
        <v>6</v>
      </c>
      <c r="I26" s="53">
        <v>7</v>
      </c>
      <c r="J26" s="53">
        <v>8</v>
      </c>
      <c r="K26" s="53">
        <v>9</v>
      </c>
      <c r="L26" s="52">
        <v>10</v>
      </c>
      <c r="M26" s="223">
        <v>11</v>
      </c>
      <c r="N26" s="223">
        <v>12</v>
      </c>
      <c r="O26" s="229">
        <v>13</v>
      </c>
      <c r="P26" s="54">
        <v>14</v>
      </c>
    </row>
    <row r="27" spans="1:22" s="11" customFormat="1" ht="43.5" customHeight="1">
      <c r="A27" s="231" t="s">
        <v>68</v>
      </c>
      <c r="B27" s="40"/>
      <c r="C27" s="40"/>
      <c r="D27" s="156">
        <f>SUM(E27:P27)</f>
        <v>4189787</v>
      </c>
      <c r="E27" s="215">
        <f>SUM(E28:E30)</f>
        <v>286039.40000000002</v>
      </c>
      <c r="F27" s="215">
        <f t="shared" ref="F27:P27" si="0">SUM(F28:F30)</f>
        <v>331548.80000000005</v>
      </c>
      <c r="G27" s="215">
        <f t="shared" si="0"/>
        <v>331548.80000000005</v>
      </c>
      <c r="H27" s="215">
        <f>SUM(H28:H30)</f>
        <v>347610.2</v>
      </c>
      <c r="I27" s="215">
        <f t="shared" si="0"/>
        <v>353083.5</v>
      </c>
      <c r="J27" s="215">
        <f t="shared" si="0"/>
        <v>358407.30000000005</v>
      </c>
      <c r="K27" s="215">
        <f t="shared" si="0"/>
        <v>364710.80000000005</v>
      </c>
      <c r="L27" s="215">
        <f t="shared" si="0"/>
        <v>351897.4</v>
      </c>
      <c r="M27" s="225">
        <f t="shared" si="0"/>
        <v>351897.4</v>
      </c>
      <c r="N27" s="225">
        <f t="shared" si="0"/>
        <v>358200.9</v>
      </c>
      <c r="O27" s="215">
        <f t="shared" si="0"/>
        <v>351897.59999999998</v>
      </c>
      <c r="P27" s="215">
        <f t="shared" si="0"/>
        <v>402944.9</v>
      </c>
      <c r="Q27" s="215"/>
      <c r="R27" s="154"/>
      <c r="S27" s="154"/>
      <c r="T27" s="154"/>
      <c r="U27" s="154"/>
    </row>
    <row r="28" spans="1:22" ht="16.5" customHeight="1">
      <c r="A28" s="238" t="s">
        <v>91</v>
      </c>
      <c r="B28" s="238"/>
      <c r="C28" s="238"/>
      <c r="D28" s="237">
        <f>E28+F28+G28+H28+I28+J28+K28+L28+M28+N28+O28+P28</f>
        <v>18104.5</v>
      </c>
      <c r="E28" s="220">
        <f>710+97</f>
        <v>807</v>
      </c>
      <c r="F28" s="220">
        <v>1572.5</v>
      </c>
      <c r="G28" s="220">
        <v>1572.5</v>
      </c>
      <c r="H28" s="220">
        <v>1572.5</v>
      </c>
      <c r="I28" s="220">
        <v>1572.5</v>
      </c>
      <c r="J28" s="220">
        <v>1572.5</v>
      </c>
      <c r="K28" s="220">
        <v>1572.5</v>
      </c>
      <c r="L28" s="220">
        <v>1572.5</v>
      </c>
      <c r="M28" s="220">
        <v>1572.5</v>
      </c>
      <c r="N28" s="220">
        <v>1572.5</v>
      </c>
      <c r="O28" s="220">
        <v>1572.5</v>
      </c>
      <c r="P28" s="220">
        <v>1572.5</v>
      </c>
      <c r="Q28" s="216">
        <v>16301.9</v>
      </c>
      <c r="R28" s="218">
        <f>18831.3+110+30</f>
        <v>18971.3</v>
      </c>
      <c r="S28" s="218"/>
      <c r="T28" s="113">
        <f>18011.5+93</f>
        <v>18104.5</v>
      </c>
      <c r="U28" s="180">
        <f>T28-D28</f>
        <v>0</v>
      </c>
      <c r="V28" s="109" t="s">
        <v>93</v>
      </c>
    </row>
    <row r="29" spans="1:22" ht="16.5" customHeight="1">
      <c r="A29" s="151" t="s">
        <v>73</v>
      </c>
      <c r="B29" s="151"/>
      <c r="C29" s="151"/>
      <c r="D29" s="237">
        <f t="shared" ref="D29:D30" si="1">E29+F29+G29+H29+I29+J29+K29+L29+M29+N29+O29+P29</f>
        <v>1371725.9999999998</v>
      </c>
      <c r="E29" s="220">
        <v>52712</v>
      </c>
      <c r="F29" s="220">
        <v>103759.1</v>
      </c>
      <c r="G29" s="220">
        <v>103759.1</v>
      </c>
      <c r="H29" s="220">
        <v>113517</v>
      </c>
      <c r="I29" s="220">
        <v>117776.8</v>
      </c>
      <c r="J29" s="220">
        <v>123100.6</v>
      </c>
      <c r="K29" s="220">
        <v>123100.6</v>
      </c>
      <c r="L29" s="220">
        <v>116590.7</v>
      </c>
      <c r="M29" s="224">
        <v>116590.7</v>
      </c>
      <c r="N29" s="224">
        <v>116590.7</v>
      </c>
      <c r="O29" s="220">
        <v>116590.9</v>
      </c>
      <c r="P29" s="220">
        <v>167637.79999999999</v>
      </c>
      <c r="Q29" s="218"/>
      <c r="R29" s="155"/>
      <c r="S29" s="218"/>
      <c r="T29" s="155" t="s">
        <v>92</v>
      </c>
      <c r="U29" s="155"/>
    </row>
    <row r="30" spans="1:22" ht="30.75" customHeight="1">
      <c r="A30" s="236" t="s">
        <v>71</v>
      </c>
      <c r="B30" s="151"/>
      <c r="C30" s="151"/>
      <c r="D30" s="237">
        <f t="shared" si="1"/>
        <v>2799956.5</v>
      </c>
      <c r="E30" s="220">
        <f>226216.9+6303.5</f>
        <v>232520.4</v>
      </c>
      <c r="F30" s="220">
        <f>226217.2</f>
        <v>226217.2</v>
      </c>
      <c r="G30" s="220">
        <f>226217.2</f>
        <v>226217.2</v>
      </c>
      <c r="H30" s="220">
        <f t="shared" ref="H30" si="2">226217.2+6303.5</f>
        <v>232520.7</v>
      </c>
      <c r="I30" s="220">
        <v>233734.2</v>
      </c>
      <c r="J30" s="220">
        <v>233734.2</v>
      </c>
      <c r="K30" s="220">
        <v>240037.7</v>
      </c>
      <c r="L30" s="220">
        <v>233734.2</v>
      </c>
      <c r="M30" s="220">
        <v>233734.2</v>
      </c>
      <c r="N30" s="220">
        <v>240037.7</v>
      </c>
      <c r="O30" s="220">
        <v>233734.2</v>
      </c>
      <c r="P30" s="220">
        <v>233734.6</v>
      </c>
      <c r="Q30" s="155"/>
      <c r="R30" s="155"/>
      <c r="S30" s="155"/>
      <c r="T30" s="155" t="s">
        <v>92</v>
      </c>
      <c r="U30" s="155"/>
    </row>
    <row r="31" spans="1:22">
      <c r="D31" s="99"/>
      <c r="T31" s="83"/>
    </row>
    <row r="32" spans="1:22">
      <c r="T32" s="83"/>
    </row>
    <row r="33" spans="4:20">
      <c r="T33" s="83"/>
    </row>
    <row r="34" spans="4:20">
      <c r="D34" s="100"/>
    </row>
  </sheetData>
  <mergeCells count="2">
    <mergeCell ref="A17:A25"/>
    <mergeCell ref="D17:D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33"/>
  <sheetViews>
    <sheetView topLeftCell="A3" workbookViewId="0">
      <selection activeCell="V28" sqref="V28"/>
    </sheetView>
  </sheetViews>
  <sheetFormatPr defaultRowHeight="15"/>
  <cols>
    <col min="1" max="1" width="27.140625" style="109" customWidth="1"/>
    <col min="2" max="2" width="1.85546875" style="109" hidden="1" customWidth="1"/>
    <col min="3" max="3" width="11.28515625" style="109" hidden="1" customWidth="1"/>
    <col min="4" max="4" width="13.5703125" style="109" customWidth="1"/>
    <col min="5" max="5" width="12.71093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0" width="12" style="109" customWidth="1"/>
    <col min="11" max="11" width="12.42578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1" width="10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87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  <c r="M14" s="109" t="s">
        <v>89</v>
      </c>
    </row>
    <row r="15" spans="7:17" ht="18.75">
      <c r="G15" s="20" t="s">
        <v>88</v>
      </c>
      <c r="H15" s="20"/>
      <c r="I15" s="20"/>
      <c r="J15" s="20"/>
      <c r="Q15" s="104"/>
    </row>
    <row r="16" spans="7:17" ht="15.75" thickBot="1">
      <c r="Q16" s="104"/>
    </row>
    <row r="17" spans="1:22" ht="15.75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22">
      <c r="A18" s="246"/>
      <c r="B18" s="28"/>
      <c r="C18" s="28"/>
      <c r="D18" s="249"/>
      <c r="E18" s="102" t="s">
        <v>15</v>
      </c>
      <c r="F18" s="2" t="s">
        <v>21</v>
      </c>
      <c r="G18" s="227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21" t="s">
        <v>30</v>
      </c>
      <c r="N18" s="221" t="s">
        <v>32</v>
      </c>
      <c r="O18" s="227" t="s">
        <v>16</v>
      </c>
      <c r="P18" s="17" t="s">
        <v>34</v>
      </c>
    </row>
    <row r="19" spans="1:22">
      <c r="A19" s="246"/>
      <c r="B19" s="28"/>
      <c r="C19" s="28"/>
      <c r="D19" s="249"/>
      <c r="E19" s="102" t="s">
        <v>16</v>
      </c>
      <c r="F19" s="2" t="s">
        <v>22</v>
      </c>
      <c r="G19" s="227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32" t="s">
        <v>22</v>
      </c>
      <c r="N19" s="221" t="s">
        <v>33</v>
      </c>
      <c r="O19" s="227" t="s">
        <v>32</v>
      </c>
      <c r="P19" s="17" t="s">
        <v>22</v>
      </c>
    </row>
    <row r="20" spans="1:22">
      <c r="A20" s="246"/>
      <c r="B20" s="28"/>
      <c r="C20" s="28"/>
      <c r="D20" s="249"/>
      <c r="E20" s="102" t="s">
        <v>17</v>
      </c>
      <c r="F20" s="2" t="s">
        <v>17</v>
      </c>
      <c r="G20" s="227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32" t="s">
        <v>16</v>
      </c>
      <c r="N20" s="221" t="s">
        <v>25</v>
      </c>
      <c r="O20" s="227" t="s">
        <v>15</v>
      </c>
      <c r="P20" s="17" t="s">
        <v>33</v>
      </c>
    </row>
    <row r="21" spans="1:22">
      <c r="A21" s="246"/>
      <c r="B21" s="28"/>
      <c r="C21" s="28"/>
      <c r="D21" s="249"/>
      <c r="E21" s="102" t="s">
        <v>18</v>
      </c>
      <c r="F21" s="2" t="s">
        <v>19</v>
      </c>
      <c r="G21" s="227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32" t="s">
        <v>25</v>
      </c>
      <c r="N21" s="221" t="s">
        <v>15</v>
      </c>
      <c r="O21" s="227" t="s">
        <v>31</v>
      </c>
      <c r="P21" s="17" t="s">
        <v>18</v>
      </c>
    </row>
    <row r="22" spans="1:22">
      <c r="A22" s="246"/>
      <c r="B22" s="28"/>
      <c r="C22" s="28"/>
      <c r="D22" s="249"/>
      <c r="E22" s="102" t="s">
        <v>19</v>
      </c>
      <c r="F22" s="2" t="s">
        <v>18</v>
      </c>
      <c r="G22" s="227"/>
      <c r="H22" s="2" t="s">
        <v>23</v>
      </c>
      <c r="I22" s="2"/>
      <c r="J22" s="2"/>
      <c r="K22" s="2"/>
      <c r="L22" s="2" t="s">
        <v>30</v>
      </c>
      <c r="M22" s="232" t="s">
        <v>15</v>
      </c>
      <c r="N22" s="221" t="s">
        <v>31</v>
      </c>
      <c r="O22" s="227" t="s">
        <v>19</v>
      </c>
      <c r="P22" s="17" t="s">
        <v>31</v>
      </c>
    </row>
    <row r="23" spans="1:22">
      <c r="A23" s="246"/>
      <c r="B23" s="28"/>
      <c r="C23" s="28"/>
      <c r="D23" s="249"/>
      <c r="E23" s="102" t="s">
        <v>20</v>
      </c>
      <c r="F23" s="2" t="s">
        <v>23</v>
      </c>
      <c r="G23" s="227"/>
      <c r="H23" s="2" t="s">
        <v>20</v>
      </c>
      <c r="I23" s="2"/>
      <c r="J23" s="2"/>
      <c r="K23" s="2"/>
      <c r="L23" s="2" t="s">
        <v>25</v>
      </c>
      <c r="M23" s="232" t="s">
        <v>31</v>
      </c>
      <c r="N23" s="221" t="s">
        <v>19</v>
      </c>
      <c r="O23" s="227" t="s">
        <v>20</v>
      </c>
      <c r="P23" s="17" t="s">
        <v>19</v>
      </c>
    </row>
    <row r="24" spans="1:22">
      <c r="A24" s="246"/>
      <c r="B24" s="28"/>
      <c r="C24" s="28"/>
      <c r="D24" s="249"/>
      <c r="E24" s="102"/>
      <c r="F24" s="2" t="s">
        <v>20</v>
      </c>
      <c r="G24" s="227"/>
      <c r="H24" s="2"/>
      <c r="I24" s="2"/>
      <c r="J24" s="2"/>
      <c r="K24" s="2"/>
      <c r="L24" s="2"/>
      <c r="M24" s="232" t="s">
        <v>19</v>
      </c>
      <c r="N24" s="221" t="s">
        <v>20</v>
      </c>
      <c r="O24" s="227"/>
      <c r="P24" s="17" t="s">
        <v>20</v>
      </c>
    </row>
    <row r="25" spans="1:22" ht="15.75" thickBot="1">
      <c r="A25" s="247"/>
      <c r="B25" s="29"/>
      <c r="C25" s="29"/>
      <c r="D25" s="250"/>
      <c r="E25" s="42"/>
      <c r="F25" s="18"/>
      <c r="G25" s="228"/>
      <c r="H25" s="18"/>
      <c r="I25" s="18"/>
      <c r="J25" s="18"/>
      <c r="K25" s="18"/>
      <c r="L25" s="18"/>
      <c r="M25" s="233" t="s">
        <v>20</v>
      </c>
      <c r="N25" s="222"/>
      <c r="O25" s="228"/>
      <c r="P25" s="19"/>
    </row>
    <row r="26" spans="1:22" ht="15.75" thickBot="1">
      <c r="A26" s="50">
        <v>1</v>
      </c>
      <c r="B26" s="50"/>
      <c r="C26" s="50"/>
      <c r="D26" s="51">
        <v>2</v>
      </c>
      <c r="E26" s="52">
        <v>3</v>
      </c>
      <c r="F26" s="53">
        <v>4</v>
      </c>
      <c r="G26" s="229">
        <v>5</v>
      </c>
      <c r="H26" s="53">
        <v>6</v>
      </c>
      <c r="I26" s="53">
        <v>7</v>
      </c>
      <c r="J26" s="53">
        <v>8</v>
      </c>
      <c r="K26" s="53">
        <v>9</v>
      </c>
      <c r="L26" s="52">
        <v>10</v>
      </c>
      <c r="M26" s="234">
        <v>11</v>
      </c>
      <c r="N26" s="223">
        <v>12</v>
      </c>
      <c r="O26" s="229">
        <v>13</v>
      </c>
      <c r="P26" s="54">
        <v>14</v>
      </c>
    </row>
    <row r="27" spans="1:22" s="11" customFormat="1" ht="43.5" customHeight="1">
      <c r="A27" s="231" t="s">
        <v>68</v>
      </c>
      <c r="B27" s="40"/>
      <c r="C27" s="40"/>
      <c r="D27" s="156">
        <f>SUM(E27:P27)</f>
        <v>4222982.3</v>
      </c>
      <c r="E27" s="215">
        <f>SUM(E28:E30)</f>
        <v>286039.40000000002</v>
      </c>
      <c r="F27" s="215">
        <f t="shared" ref="F27:P27" si="0">SUM(F28:F30)</f>
        <v>331548.80000000005</v>
      </c>
      <c r="G27" s="215">
        <f t="shared" si="0"/>
        <v>331548.80000000005</v>
      </c>
      <c r="H27" s="215">
        <f>SUM(H28:H30)</f>
        <v>347610.2</v>
      </c>
      <c r="I27" s="215">
        <f t="shared" si="0"/>
        <v>353083.5</v>
      </c>
      <c r="J27" s="215">
        <f t="shared" si="0"/>
        <v>358407.30000000005</v>
      </c>
      <c r="K27" s="225">
        <f t="shared" si="0"/>
        <v>364634.30000000005</v>
      </c>
      <c r="L27" s="215">
        <f t="shared" si="0"/>
        <v>358529.8</v>
      </c>
      <c r="M27" s="119">
        <f t="shared" si="0"/>
        <v>358529.8</v>
      </c>
      <c r="N27" s="225">
        <f t="shared" si="0"/>
        <v>364833.3</v>
      </c>
      <c r="O27" s="215">
        <f t="shared" si="0"/>
        <v>358529.8</v>
      </c>
      <c r="P27" s="215">
        <f t="shared" si="0"/>
        <v>409687.3</v>
      </c>
      <c r="Q27" s="215"/>
      <c r="R27" s="154"/>
      <c r="S27" s="154"/>
      <c r="T27" s="165"/>
      <c r="U27" s="154"/>
    </row>
    <row r="28" spans="1:22" ht="16.5" customHeight="1">
      <c r="A28" s="238" t="s">
        <v>91</v>
      </c>
      <c r="B28" s="238"/>
      <c r="C28" s="238"/>
      <c r="D28" s="237">
        <f>E28+F28+G28+H28+I28+J28+K28+L28+M28+N28+O28+P28</f>
        <v>18214.5</v>
      </c>
      <c r="E28" s="220">
        <f>710+97</f>
        <v>807</v>
      </c>
      <c r="F28" s="220">
        <v>1572.5</v>
      </c>
      <c r="G28" s="220">
        <v>1572.5</v>
      </c>
      <c r="H28" s="220">
        <v>1572.5</v>
      </c>
      <c r="I28" s="220">
        <v>1572.5</v>
      </c>
      <c r="J28" s="220">
        <v>1572.5</v>
      </c>
      <c r="K28" s="224">
        <v>1572.5</v>
      </c>
      <c r="L28" s="220">
        <v>1572.5</v>
      </c>
      <c r="M28" s="235">
        <v>1572.5</v>
      </c>
      <c r="N28" s="220">
        <v>1572.5</v>
      </c>
      <c r="O28" s="220">
        <v>1572.5</v>
      </c>
      <c r="P28" s="220">
        <f>1572.5+110</f>
        <v>1682.5</v>
      </c>
      <c r="Q28" s="216">
        <v>16301.9</v>
      </c>
      <c r="R28" s="218">
        <f>18831.3+110+30</f>
        <v>18971.3</v>
      </c>
      <c r="S28" s="218"/>
      <c r="T28" s="58">
        <f>18011.5+93+110</f>
        <v>18214.5</v>
      </c>
      <c r="U28" s="180">
        <f>T28-D28</f>
        <v>0</v>
      </c>
      <c r="V28" s="109" t="s">
        <v>93</v>
      </c>
    </row>
    <row r="29" spans="1:22" ht="16.5" customHeight="1">
      <c r="A29" s="151" t="s">
        <v>73</v>
      </c>
      <c r="B29" s="151"/>
      <c r="C29" s="151"/>
      <c r="D29" s="237">
        <f t="shared" ref="D29:D30" si="1">E29+F29+G29+H29+I29+J29+K29+L29+M29+N29+O29+P29</f>
        <v>1388725.9999999998</v>
      </c>
      <c r="E29" s="220">
        <v>52712</v>
      </c>
      <c r="F29" s="220">
        <v>103759.1</v>
      </c>
      <c r="G29" s="220">
        <v>103759.1</v>
      </c>
      <c r="H29" s="220">
        <v>113517</v>
      </c>
      <c r="I29" s="220">
        <v>117776.8</v>
      </c>
      <c r="J29" s="220">
        <v>123100.6</v>
      </c>
      <c r="K29" s="220">
        <v>123100.6</v>
      </c>
      <c r="L29" s="220">
        <v>119990.7</v>
      </c>
      <c r="M29" s="224">
        <v>119990.7</v>
      </c>
      <c r="N29" s="224">
        <v>119990.7</v>
      </c>
      <c r="O29" s="220">
        <v>119990.7</v>
      </c>
      <c r="P29" s="220">
        <v>171038</v>
      </c>
      <c r="Q29" s="218"/>
      <c r="R29" s="155"/>
      <c r="S29" s="218"/>
      <c r="T29" s="155" t="s">
        <v>92</v>
      </c>
      <c r="U29" s="155"/>
    </row>
    <row r="30" spans="1:22" ht="39.75" customHeight="1">
      <c r="A30" s="151" t="s">
        <v>71</v>
      </c>
      <c r="B30" s="151"/>
      <c r="C30" s="151"/>
      <c r="D30" s="237">
        <f t="shared" si="1"/>
        <v>2816041.8</v>
      </c>
      <c r="E30" s="220">
        <f>226216.9+6303.5</f>
        <v>232520.4</v>
      </c>
      <c r="F30" s="220">
        <f>226217.2</f>
        <v>226217.2</v>
      </c>
      <c r="G30" s="220">
        <f>226217.2</f>
        <v>226217.2</v>
      </c>
      <c r="H30" s="220">
        <f t="shared" ref="H30" si="2">226217.2+6303.5</f>
        <v>232520.7</v>
      </c>
      <c r="I30" s="220">
        <v>233734.2</v>
      </c>
      <c r="J30" s="220">
        <v>233734.2</v>
      </c>
      <c r="K30" s="220">
        <v>239961.2</v>
      </c>
      <c r="L30" s="220">
        <v>236966.6</v>
      </c>
      <c r="M30" s="220">
        <v>236966.6</v>
      </c>
      <c r="N30" s="220">
        <v>243270.1</v>
      </c>
      <c r="O30" s="220">
        <v>236966.6</v>
      </c>
      <c r="P30" s="220">
        <v>236966.8</v>
      </c>
      <c r="Q30" s="155"/>
      <c r="R30" s="155"/>
      <c r="S30" s="155"/>
      <c r="T30" s="155" t="s">
        <v>92</v>
      </c>
      <c r="U30" s="155"/>
    </row>
    <row r="31" spans="1:22">
      <c r="T31" s="83"/>
    </row>
    <row r="32" spans="1:22">
      <c r="T32" s="83"/>
    </row>
    <row r="33" spans="4:4">
      <c r="D33" s="100"/>
    </row>
  </sheetData>
  <mergeCells count="2">
    <mergeCell ref="A17:A25"/>
    <mergeCell ref="D17:D25"/>
  </mergeCells>
  <pageMargins left="0.70866141732283472" right="0.25" top="0.74803149606299213" bottom="0.74803149606299213" header="0.31496062992125984" footer="0.31496062992125984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34"/>
  <sheetViews>
    <sheetView topLeftCell="A8" workbookViewId="0">
      <selection activeCell="V28" sqref="V28"/>
    </sheetView>
  </sheetViews>
  <sheetFormatPr defaultRowHeight="15"/>
  <cols>
    <col min="1" max="1" width="25.85546875" style="109" customWidth="1"/>
    <col min="2" max="2" width="1.28515625" style="109" hidden="1" customWidth="1"/>
    <col min="3" max="3" width="1.85546875" style="109" hidden="1" customWidth="1"/>
    <col min="4" max="4" width="13.5703125" style="109" customWidth="1"/>
    <col min="5" max="5" width="12.7109375" style="109" customWidth="1"/>
    <col min="6" max="6" width="12.42578125" style="109" customWidth="1"/>
    <col min="7" max="7" width="12.85546875" style="109" customWidth="1"/>
    <col min="8" max="8" width="12.42578125" style="109" customWidth="1"/>
    <col min="9" max="9" width="13" style="109" customWidth="1"/>
    <col min="10" max="11" width="13.5703125" style="109" customWidth="1"/>
    <col min="12" max="12" width="12.7109375" style="109" customWidth="1"/>
    <col min="13" max="13" width="12.85546875" style="109" customWidth="1"/>
    <col min="14" max="14" width="11.85546875" style="109" customWidth="1"/>
    <col min="15" max="16" width="12.140625" style="109" customWidth="1"/>
    <col min="17" max="17" width="9.140625" style="109" hidden="1" customWidth="1"/>
    <col min="18" max="19" width="10.42578125" style="109" hidden="1" customWidth="1"/>
    <col min="20" max="20" width="10" style="109" bestFit="1" customWidth="1"/>
    <col min="21" max="21" width="9.5703125" style="109" bestFit="1" customWidth="1"/>
    <col min="22" max="16384" width="9.140625" style="109"/>
  </cols>
  <sheetData>
    <row r="1" spans="7:17">
      <c r="M1" s="109" t="s">
        <v>53</v>
      </c>
    </row>
    <row r="2" spans="7:17">
      <c r="M2" s="109" t="s">
        <v>0</v>
      </c>
    </row>
    <row r="3" spans="7:17">
      <c r="M3" s="109" t="s">
        <v>1</v>
      </c>
    </row>
    <row r="4" spans="7:17">
      <c r="M4" s="109" t="s">
        <v>2</v>
      </c>
    </row>
    <row r="6" spans="7:17">
      <c r="M6" s="109" t="s">
        <v>3</v>
      </c>
    </row>
    <row r="7" spans="7:17">
      <c r="M7" s="109" t="s">
        <v>87</v>
      </c>
    </row>
    <row r="8" spans="7:17">
      <c r="M8" s="109" t="s">
        <v>5</v>
      </c>
    </row>
    <row r="9" spans="7:17">
      <c r="M9" s="109" t="s">
        <v>6</v>
      </c>
    </row>
    <row r="11" spans="7:17">
      <c r="M11" s="109" t="s">
        <v>7</v>
      </c>
      <c r="O11" s="109" t="s">
        <v>8</v>
      </c>
    </row>
    <row r="12" spans="7:17">
      <c r="M12" s="109" t="s">
        <v>9</v>
      </c>
      <c r="N12" s="109" t="s">
        <v>11</v>
      </c>
      <c r="P12" s="109" t="s">
        <v>10</v>
      </c>
    </row>
    <row r="14" spans="7:17" ht="18.75">
      <c r="G14" s="20"/>
      <c r="H14" s="20" t="s">
        <v>12</v>
      </c>
      <c r="I14" s="20"/>
      <c r="J14" s="20"/>
    </row>
    <row r="15" spans="7:17" ht="18.75">
      <c r="G15" s="20" t="s">
        <v>88</v>
      </c>
      <c r="H15" s="20"/>
      <c r="I15" s="20"/>
      <c r="J15" s="20"/>
      <c r="Q15" s="104"/>
    </row>
    <row r="16" spans="7:17" ht="15.75" thickBot="1">
      <c r="Q16" s="104"/>
    </row>
    <row r="17" spans="1:22" ht="15.75" thickBot="1">
      <c r="A17" s="245" t="s">
        <v>13</v>
      </c>
      <c r="B17" s="27"/>
      <c r="C17" s="27"/>
      <c r="D17" s="248" t="s">
        <v>76</v>
      </c>
      <c r="E17" s="55"/>
      <c r="F17" s="56"/>
      <c r="G17" s="56"/>
      <c r="H17" s="56"/>
      <c r="I17" s="56" t="s">
        <v>14</v>
      </c>
      <c r="J17" s="56"/>
      <c r="K17" s="56"/>
      <c r="L17" s="56"/>
      <c r="M17" s="56"/>
      <c r="N17" s="56"/>
      <c r="O17" s="56"/>
      <c r="P17" s="57"/>
      <c r="Q17" s="104"/>
    </row>
    <row r="18" spans="1:22">
      <c r="A18" s="246"/>
      <c r="B18" s="28"/>
      <c r="C18" s="28"/>
      <c r="D18" s="249"/>
      <c r="E18" s="102" t="s">
        <v>15</v>
      </c>
      <c r="F18" s="2" t="s">
        <v>21</v>
      </c>
      <c r="G18" s="227" t="s">
        <v>24</v>
      </c>
      <c r="H18" s="2" t="s">
        <v>18</v>
      </c>
      <c r="I18" s="2" t="s">
        <v>24</v>
      </c>
      <c r="J18" s="2" t="s">
        <v>26</v>
      </c>
      <c r="K18" s="2" t="s">
        <v>26</v>
      </c>
      <c r="L18" s="2" t="s">
        <v>18</v>
      </c>
      <c r="M18" s="221" t="s">
        <v>30</v>
      </c>
      <c r="N18" s="221" t="s">
        <v>32</v>
      </c>
      <c r="O18" s="227" t="s">
        <v>16</v>
      </c>
      <c r="P18" s="17" t="s">
        <v>34</v>
      </c>
    </row>
    <row r="19" spans="1:22">
      <c r="A19" s="246"/>
      <c r="B19" s="28"/>
      <c r="C19" s="28"/>
      <c r="D19" s="249"/>
      <c r="E19" s="102" t="s">
        <v>16</v>
      </c>
      <c r="F19" s="2" t="s">
        <v>22</v>
      </c>
      <c r="G19" s="227" t="s">
        <v>18</v>
      </c>
      <c r="H19" s="2" t="s">
        <v>35</v>
      </c>
      <c r="I19" s="2" t="s">
        <v>18</v>
      </c>
      <c r="J19" s="2" t="s">
        <v>27</v>
      </c>
      <c r="K19" s="2" t="s">
        <v>27</v>
      </c>
      <c r="L19" s="2" t="s">
        <v>17</v>
      </c>
      <c r="M19" s="221" t="s">
        <v>22</v>
      </c>
      <c r="N19" s="221" t="s">
        <v>33</v>
      </c>
      <c r="O19" s="227" t="s">
        <v>32</v>
      </c>
      <c r="P19" s="17" t="s">
        <v>22</v>
      </c>
    </row>
    <row r="20" spans="1:22">
      <c r="A20" s="246"/>
      <c r="B20" s="28"/>
      <c r="C20" s="28"/>
      <c r="D20" s="249"/>
      <c r="E20" s="102" t="s">
        <v>17</v>
      </c>
      <c r="F20" s="2" t="s">
        <v>17</v>
      </c>
      <c r="G20" s="227" t="s">
        <v>19</v>
      </c>
      <c r="H20" s="2" t="s">
        <v>19</v>
      </c>
      <c r="I20" s="2" t="s">
        <v>36</v>
      </c>
      <c r="J20" s="2" t="s">
        <v>16</v>
      </c>
      <c r="K20" s="2" t="s">
        <v>23</v>
      </c>
      <c r="L20" s="2" t="s">
        <v>28</v>
      </c>
      <c r="M20" s="221" t="s">
        <v>16</v>
      </c>
      <c r="N20" s="221" t="s">
        <v>25</v>
      </c>
      <c r="O20" s="227" t="s">
        <v>15</v>
      </c>
      <c r="P20" s="17" t="s">
        <v>33</v>
      </c>
    </row>
    <row r="21" spans="1:22">
      <c r="A21" s="246"/>
      <c r="B21" s="28"/>
      <c r="C21" s="28"/>
      <c r="D21" s="249"/>
      <c r="E21" s="102" t="s">
        <v>18</v>
      </c>
      <c r="F21" s="2" t="s">
        <v>19</v>
      </c>
      <c r="G21" s="227" t="s">
        <v>25</v>
      </c>
      <c r="H21" s="2" t="s">
        <v>22</v>
      </c>
      <c r="I21" s="2"/>
      <c r="J21" s="2" t="s">
        <v>20</v>
      </c>
      <c r="K21" s="2" t="s">
        <v>20</v>
      </c>
      <c r="L21" s="2" t="s">
        <v>29</v>
      </c>
      <c r="M21" s="221" t="s">
        <v>25</v>
      </c>
      <c r="N21" s="221" t="s">
        <v>15</v>
      </c>
      <c r="O21" s="227" t="s">
        <v>31</v>
      </c>
      <c r="P21" s="17" t="s">
        <v>18</v>
      </c>
    </row>
    <row r="22" spans="1:22">
      <c r="A22" s="246"/>
      <c r="B22" s="28"/>
      <c r="C22" s="28"/>
      <c r="D22" s="249"/>
      <c r="E22" s="102" t="s">
        <v>19</v>
      </c>
      <c r="F22" s="2" t="s">
        <v>18</v>
      </c>
      <c r="G22" s="227"/>
      <c r="H22" s="2" t="s">
        <v>23</v>
      </c>
      <c r="I22" s="2"/>
      <c r="J22" s="2"/>
      <c r="K22" s="2"/>
      <c r="L22" s="2" t="s">
        <v>30</v>
      </c>
      <c r="M22" s="221" t="s">
        <v>15</v>
      </c>
      <c r="N22" s="221" t="s">
        <v>31</v>
      </c>
      <c r="O22" s="227" t="s">
        <v>19</v>
      </c>
      <c r="P22" s="17" t="s">
        <v>31</v>
      </c>
    </row>
    <row r="23" spans="1:22">
      <c r="A23" s="246"/>
      <c r="B23" s="28"/>
      <c r="C23" s="28"/>
      <c r="D23" s="249"/>
      <c r="E23" s="102" t="s">
        <v>20</v>
      </c>
      <c r="F23" s="2" t="s">
        <v>23</v>
      </c>
      <c r="G23" s="227"/>
      <c r="H23" s="2" t="s">
        <v>20</v>
      </c>
      <c r="I23" s="2"/>
      <c r="J23" s="2"/>
      <c r="K23" s="2"/>
      <c r="L23" s="2" t="s">
        <v>25</v>
      </c>
      <c r="M23" s="221" t="s">
        <v>31</v>
      </c>
      <c r="N23" s="221" t="s">
        <v>19</v>
      </c>
      <c r="O23" s="227" t="s">
        <v>20</v>
      </c>
      <c r="P23" s="17" t="s">
        <v>19</v>
      </c>
    </row>
    <row r="24" spans="1:22">
      <c r="A24" s="246"/>
      <c r="B24" s="28"/>
      <c r="C24" s="28"/>
      <c r="D24" s="249"/>
      <c r="E24" s="102"/>
      <c r="F24" s="2" t="s">
        <v>20</v>
      </c>
      <c r="G24" s="227"/>
      <c r="H24" s="2"/>
      <c r="I24" s="2"/>
      <c r="J24" s="2"/>
      <c r="K24" s="2"/>
      <c r="L24" s="2"/>
      <c r="M24" s="221" t="s">
        <v>19</v>
      </c>
      <c r="N24" s="221" t="s">
        <v>20</v>
      </c>
      <c r="O24" s="227"/>
      <c r="P24" s="17" t="s">
        <v>20</v>
      </c>
    </row>
    <row r="25" spans="1:22" ht="15.75" thickBot="1">
      <c r="A25" s="247"/>
      <c r="B25" s="29"/>
      <c r="C25" s="29"/>
      <c r="D25" s="250"/>
      <c r="E25" s="42"/>
      <c r="F25" s="18"/>
      <c r="G25" s="228"/>
      <c r="H25" s="18"/>
      <c r="I25" s="18"/>
      <c r="J25" s="18"/>
      <c r="K25" s="18"/>
      <c r="L25" s="18"/>
      <c r="M25" s="222" t="s">
        <v>20</v>
      </c>
      <c r="N25" s="222"/>
      <c r="O25" s="228"/>
      <c r="P25" s="19"/>
    </row>
    <row r="26" spans="1:22">
      <c r="A26" s="27">
        <v>1</v>
      </c>
      <c r="B26" s="27"/>
      <c r="C26" s="27"/>
      <c r="D26" s="239">
        <v>2</v>
      </c>
      <c r="E26" s="240">
        <v>3</v>
      </c>
      <c r="F26" s="241">
        <v>4</v>
      </c>
      <c r="G26" s="242">
        <v>5</v>
      </c>
      <c r="H26" s="241">
        <v>6</v>
      </c>
      <c r="I26" s="241">
        <v>7</v>
      </c>
      <c r="J26" s="241">
        <v>8</v>
      </c>
      <c r="K26" s="241">
        <v>9</v>
      </c>
      <c r="L26" s="240">
        <v>10</v>
      </c>
      <c r="M26" s="243">
        <v>11</v>
      </c>
      <c r="N26" s="243">
        <v>12</v>
      </c>
      <c r="O26" s="242">
        <v>13</v>
      </c>
      <c r="P26" s="244">
        <v>14</v>
      </c>
    </row>
    <row r="27" spans="1:22" s="11" customFormat="1" ht="43.5" customHeight="1">
      <c r="A27" s="230" t="s">
        <v>68</v>
      </c>
      <c r="B27" s="149"/>
      <c r="C27" s="149"/>
      <c r="D27" s="164">
        <f>SUM(E27:P27)</f>
        <v>4242935.8999999994</v>
      </c>
      <c r="E27" s="219">
        <f>SUM(E28:E30)</f>
        <v>286039.40000000002</v>
      </c>
      <c r="F27" s="219">
        <f t="shared" ref="F27:P27" si="0">SUM(F28:F30)</f>
        <v>331548.80000000005</v>
      </c>
      <c r="G27" s="219">
        <f t="shared" si="0"/>
        <v>331548.80000000005</v>
      </c>
      <c r="H27" s="219">
        <f>SUM(H28:H30)</f>
        <v>347610.2</v>
      </c>
      <c r="I27" s="219">
        <f t="shared" si="0"/>
        <v>353083.5</v>
      </c>
      <c r="J27" s="219">
        <f t="shared" si="0"/>
        <v>358407.30000000005</v>
      </c>
      <c r="K27" s="219">
        <f t="shared" si="0"/>
        <v>364634.30000000005</v>
      </c>
      <c r="L27" s="219">
        <f t="shared" si="0"/>
        <v>358529.8</v>
      </c>
      <c r="M27" s="226">
        <f t="shared" si="0"/>
        <v>363382.8</v>
      </c>
      <c r="N27" s="226">
        <f t="shared" si="0"/>
        <v>369686.3</v>
      </c>
      <c r="O27" s="219">
        <f t="shared" si="0"/>
        <v>363382.8</v>
      </c>
      <c r="P27" s="219">
        <f t="shared" si="0"/>
        <v>415081.9</v>
      </c>
      <c r="Q27" s="215"/>
      <c r="R27" s="154"/>
      <c r="S27" s="154"/>
      <c r="T27" s="154"/>
      <c r="U27" s="154"/>
    </row>
    <row r="28" spans="1:22" ht="16.5" customHeight="1">
      <c r="A28" s="238" t="s">
        <v>91</v>
      </c>
      <c r="B28" s="238"/>
      <c r="C28" s="238"/>
      <c r="D28" s="237">
        <f>E28+F28+G28+H28+I28+J28+K28+L28+M28+N28+O28+P28</f>
        <v>18104.5</v>
      </c>
      <c r="E28" s="220">
        <f>710+97</f>
        <v>807</v>
      </c>
      <c r="F28" s="220">
        <v>1572.5</v>
      </c>
      <c r="G28" s="220">
        <v>1572.5</v>
      </c>
      <c r="H28" s="220">
        <v>1572.5</v>
      </c>
      <c r="I28" s="220">
        <v>1572.5</v>
      </c>
      <c r="J28" s="220">
        <v>1572.5</v>
      </c>
      <c r="K28" s="220">
        <v>1572.5</v>
      </c>
      <c r="L28" s="220">
        <v>1572.5</v>
      </c>
      <c r="M28" s="220">
        <v>1572.5</v>
      </c>
      <c r="N28" s="220">
        <v>1572.5</v>
      </c>
      <c r="O28" s="220">
        <v>1572.5</v>
      </c>
      <c r="P28" s="220">
        <v>1572.5</v>
      </c>
      <c r="Q28" s="216">
        <v>16301.9</v>
      </c>
      <c r="R28" s="218">
        <f>18831.3+110+30</f>
        <v>18971.3</v>
      </c>
      <c r="S28" s="218"/>
      <c r="T28" s="113">
        <f>18011.5+93</f>
        <v>18104.5</v>
      </c>
      <c r="U28" s="180">
        <f>T28-D28</f>
        <v>0</v>
      </c>
      <c r="V28" s="109" t="s">
        <v>93</v>
      </c>
    </row>
    <row r="29" spans="1:22" ht="16.5" customHeight="1">
      <c r="A29" s="151" t="s">
        <v>73</v>
      </c>
      <c r="B29" s="151"/>
      <c r="C29" s="151"/>
      <c r="D29" s="237">
        <f t="shared" ref="D29:D30" si="1">E29+F29+G29+H29+I29+J29+K29+L29+M29+N29+O29+P29</f>
        <v>1408789.5999999999</v>
      </c>
      <c r="E29" s="220">
        <v>52712</v>
      </c>
      <c r="F29" s="220">
        <v>103759.1</v>
      </c>
      <c r="G29" s="220">
        <v>103759.1</v>
      </c>
      <c r="H29" s="220">
        <v>113517</v>
      </c>
      <c r="I29" s="220">
        <v>117776.8</v>
      </c>
      <c r="J29" s="220">
        <v>123100.6</v>
      </c>
      <c r="K29" s="220">
        <v>123100.6</v>
      </c>
      <c r="L29" s="220">
        <v>119990.7</v>
      </c>
      <c r="M29" s="224">
        <v>124843.7</v>
      </c>
      <c r="N29" s="224">
        <v>124843.7</v>
      </c>
      <c r="O29" s="220">
        <v>124843.7</v>
      </c>
      <c r="P29" s="220">
        <v>176542.6</v>
      </c>
      <c r="Q29" s="218"/>
      <c r="R29" s="155"/>
      <c r="S29" s="218"/>
      <c r="T29" s="155" t="s">
        <v>92</v>
      </c>
      <c r="U29" s="155"/>
    </row>
    <row r="30" spans="1:22" ht="30.75" customHeight="1">
      <c r="A30" s="236" t="s">
        <v>71</v>
      </c>
      <c r="B30" s="151"/>
      <c r="C30" s="151"/>
      <c r="D30" s="237">
        <f t="shared" si="1"/>
        <v>2816041.8</v>
      </c>
      <c r="E30" s="220">
        <f>226216.9+6303.5</f>
        <v>232520.4</v>
      </c>
      <c r="F30" s="220">
        <f>226217.2</f>
        <v>226217.2</v>
      </c>
      <c r="G30" s="220">
        <f>226217.2</f>
        <v>226217.2</v>
      </c>
      <c r="H30" s="220">
        <f t="shared" ref="H30" si="2">226217.2+6303.5</f>
        <v>232520.7</v>
      </c>
      <c r="I30" s="220">
        <v>233734.2</v>
      </c>
      <c r="J30" s="220">
        <v>233734.2</v>
      </c>
      <c r="K30" s="220">
        <v>239961.2</v>
      </c>
      <c r="L30" s="220">
        <v>236966.6</v>
      </c>
      <c r="M30" s="220">
        <v>236966.6</v>
      </c>
      <c r="N30" s="220">
        <v>243270.1</v>
      </c>
      <c r="O30" s="220">
        <v>236966.6</v>
      </c>
      <c r="P30" s="220">
        <v>236966.8</v>
      </c>
      <c r="Q30" s="155"/>
      <c r="R30" s="155"/>
      <c r="S30" s="155"/>
      <c r="T30" s="155" t="s">
        <v>92</v>
      </c>
      <c r="U30" s="155"/>
    </row>
    <row r="31" spans="1:22">
      <c r="D31" s="99"/>
      <c r="T31" s="155"/>
    </row>
    <row r="32" spans="1:22">
      <c r="T32" s="83"/>
    </row>
    <row r="33" spans="4:20">
      <c r="T33" s="83"/>
    </row>
    <row r="34" spans="4:20">
      <c r="D34" s="100"/>
    </row>
  </sheetData>
  <mergeCells count="2">
    <mergeCell ref="A17:A25"/>
    <mergeCell ref="D17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2016 реш 73</vt:lpstr>
      <vt:lpstr>на июнь 2016</vt:lpstr>
      <vt:lpstr>январь2018</vt:lpstr>
      <vt:lpstr>42 от 12.04.18</vt:lpstr>
      <vt:lpstr>решение 81 от 12.07.18</vt:lpstr>
      <vt:lpstr>106 от 30.08.18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2018-09-20T10:11:49Z</dcterms:modified>
</cp:coreProperties>
</file>